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095" windowHeight="8925"/>
  </bookViews>
  <sheets>
    <sheet name="w&amp;B SILMULATOR" sheetId="3" r:id="rId1"/>
    <sheet name="DADOS" sheetId="4" r:id="rId2"/>
    <sheet name="CÁLCULOS" sheetId="5" r:id="rId3"/>
  </sheets>
  <calcPr calcId="125725"/>
</workbook>
</file>

<file path=xl/calcChain.xml><?xml version="1.0" encoding="utf-8"?>
<calcChain xmlns="http://schemas.openxmlformats.org/spreadsheetml/2006/main">
  <c r="B18" i="4"/>
  <c r="B15"/>
  <c r="B14"/>
  <c r="B13"/>
  <c r="B12"/>
  <c r="B11"/>
  <c r="B10"/>
  <c r="C17"/>
  <c r="C16"/>
  <c r="C9"/>
  <c r="C8"/>
  <c r="C7"/>
  <c r="C6"/>
  <c r="C5"/>
  <c r="B45" i="5" l="1"/>
  <c r="B46"/>
  <c r="B42"/>
  <c r="B33"/>
  <c r="B36"/>
  <c r="B32"/>
  <c r="G27"/>
  <c r="G26"/>
  <c r="G22"/>
  <c r="B27"/>
  <c r="B26"/>
  <c r="B22"/>
  <c r="D48"/>
  <c r="D47"/>
  <c r="D43"/>
  <c r="D38"/>
  <c r="D37"/>
  <c r="D35"/>
  <c r="G39"/>
  <c r="G18"/>
  <c r="G16"/>
  <c r="G12"/>
  <c r="B18"/>
  <c r="B16"/>
  <c r="B12"/>
  <c r="I28"/>
  <c r="D28"/>
  <c r="I25"/>
  <c r="D25"/>
  <c r="I23"/>
  <c r="D23"/>
  <c r="I17"/>
  <c r="I15"/>
  <c r="I13"/>
  <c r="D13"/>
  <c r="D15"/>
  <c r="D17"/>
  <c r="B6"/>
  <c r="B3"/>
  <c r="C6"/>
  <c r="C16" s="1"/>
  <c r="C3"/>
  <c r="C12" s="1"/>
  <c r="D9"/>
  <c r="D8"/>
  <c r="D7"/>
  <c r="D4"/>
  <c r="D16" i="4"/>
  <c r="D15"/>
  <c r="E18"/>
  <c r="E17"/>
  <c r="F14"/>
  <c r="F13"/>
  <c r="F9"/>
  <c r="F8"/>
  <c r="G12"/>
  <c r="G11"/>
  <c r="G7"/>
  <c r="G6"/>
  <c r="D13" i="3"/>
  <c r="D14" s="1"/>
  <c r="F14" s="1"/>
  <c r="D12"/>
  <c r="E8"/>
  <c r="E9"/>
  <c r="E6"/>
  <c r="D17"/>
  <c r="D16"/>
  <c r="C27"/>
  <c r="C18"/>
  <c r="C28" s="1"/>
  <c r="D5"/>
  <c r="D4"/>
  <c r="E7"/>
  <c r="D3" i="5" l="1"/>
  <c r="D16"/>
  <c r="F13" i="3"/>
  <c r="H26" i="5"/>
  <c r="I26" s="1"/>
  <c r="C36"/>
  <c r="D36" s="1"/>
  <c r="B5"/>
  <c r="C22"/>
  <c r="D22" s="1"/>
  <c r="C26"/>
  <c r="D26" s="1"/>
  <c r="H22"/>
  <c r="I22" s="1"/>
  <c r="C32"/>
  <c r="D32" s="1"/>
  <c r="C42"/>
  <c r="D42" s="1"/>
  <c r="C46"/>
  <c r="D46" s="1"/>
  <c r="H16"/>
  <c r="I16" s="1"/>
  <c r="G14"/>
  <c r="H12"/>
  <c r="I12" s="1"/>
  <c r="D12"/>
  <c r="D6"/>
  <c r="D5" s="1"/>
  <c r="D15" i="3"/>
  <c r="F12"/>
  <c r="F15" s="1"/>
  <c r="D27"/>
  <c r="C26"/>
  <c r="D26" s="1"/>
  <c r="D18"/>
  <c r="D22" s="1"/>
  <c r="D23" s="1"/>
  <c r="E15" l="1"/>
  <c r="C5" i="5"/>
  <c r="C34" s="1"/>
  <c r="B14"/>
  <c r="B19" s="1"/>
  <c r="B44"/>
  <c r="B34"/>
  <c r="G24"/>
  <c r="G29" s="1"/>
  <c r="B24"/>
  <c r="G19"/>
  <c r="D28" i="3"/>
  <c r="D29" s="1"/>
  <c r="C14" i="5" l="1"/>
  <c r="D14" s="1"/>
  <c r="D18" s="1"/>
  <c r="C18" s="1"/>
  <c r="C24"/>
  <c r="H24"/>
  <c r="I24" s="1"/>
  <c r="I27" s="1"/>
  <c r="H27" s="1"/>
  <c r="H14"/>
  <c r="I14" s="1"/>
  <c r="I18" s="1"/>
  <c r="H18" s="1"/>
  <c r="C44"/>
  <c r="D24"/>
  <c r="D27" s="1"/>
  <c r="C27" s="1"/>
  <c r="B29"/>
  <c r="B39"/>
  <c r="D34"/>
  <c r="D33" s="1"/>
  <c r="C33" s="1"/>
  <c r="K33" s="1"/>
  <c r="L33" s="1"/>
  <c r="E16" i="3" s="1"/>
  <c r="B49" i="5"/>
  <c r="D44"/>
  <c r="D45" s="1"/>
  <c r="C45" s="1"/>
  <c r="K45" s="1"/>
  <c r="L45" s="1"/>
  <c r="E17" i="3" s="1"/>
  <c r="K18" i="5" l="1"/>
  <c r="L18" s="1"/>
  <c r="E21" i="3" s="1"/>
  <c r="F21" s="1"/>
  <c r="E27"/>
  <c r="F27" s="1"/>
  <c r="F17"/>
  <c r="E26"/>
  <c r="F26" s="1"/>
  <c r="F16"/>
  <c r="F18" l="1"/>
  <c r="E18" s="1"/>
  <c r="F28"/>
  <c r="E28" s="1"/>
  <c r="K27" i="5"/>
  <c r="L27" s="1"/>
  <c r="E20" i="3" l="1"/>
  <c r="F20" s="1"/>
  <c r="E19"/>
  <c r="F19" s="1"/>
  <c r="F22" l="1"/>
  <c r="E22" l="1"/>
  <c r="F23"/>
  <c r="F29" l="1"/>
  <c r="E29" s="1"/>
  <c r="E23"/>
</calcChain>
</file>

<file path=xl/sharedStrings.xml><?xml version="1.0" encoding="utf-8"?>
<sst xmlns="http://schemas.openxmlformats.org/spreadsheetml/2006/main" count="236" uniqueCount="117">
  <si>
    <t>MOM</t>
  </si>
  <si>
    <t>(kgf)</t>
  </si>
  <si>
    <t>(mm)</t>
  </si>
  <si>
    <t>kgf</t>
  </si>
  <si>
    <t>mm</t>
  </si>
  <si>
    <t>CG</t>
  </si>
  <si>
    <t>(kgf.m)</t>
  </si>
  <si>
    <t>HEAD TANK</t>
  </si>
  <si>
    <t>MAIN TANKS</t>
  </si>
  <si>
    <t>NOSE GEAR</t>
  </si>
  <si>
    <t>MAIN GEAR RIGHT</t>
  </si>
  <si>
    <t>MAIN GEAR LEFT</t>
  </si>
  <si>
    <t>EMPTY</t>
  </si>
  <si>
    <t>PILOT</t>
  </si>
  <si>
    <t>COPILOT</t>
  </si>
  <si>
    <t>LUGGAGE</t>
  </si>
  <si>
    <t>GROSS</t>
  </si>
  <si>
    <t>FUEL</t>
  </si>
  <si>
    <t>(liters)</t>
  </si>
  <si>
    <t>USEFULL LOAD</t>
  </si>
  <si>
    <t>LOAD</t>
  </si>
  <si>
    <t>MAX TAKE OFF</t>
  </si>
  <si>
    <t>MAX LANDING</t>
  </si>
  <si>
    <t>MAX FORWARD</t>
  </si>
  <si>
    <t>CRITICAL FW</t>
  </si>
  <si>
    <t>CRITICAL AFT</t>
  </si>
  <si>
    <t>MAXIMUM AFT</t>
  </si>
  <si>
    <t>LIMITS</t>
  </si>
  <si>
    <t>WIGHT</t>
  </si>
  <si>
    <t>WEIGHT &amp; BALANCE SIMULATOR - PP-XSN</t>
  </si>
  <si>
    <t>TOTAL FUEL</t>
  </si>
  <si>
    <t>HEAD REMAIN</t>
  </si>
  <si>
    <t>MAIN REMAIN</t>
  </si>
  <si>
    <t>TOTAL REMAIN</t>
  </si>
  <si>
    <t>TRIP</t>
  </si>
  <si>
    <t>FLOW (l/hour)</t>
  </si>
  <si>
    <t>CRITICAL FUEL</t>
  </si>
  <si>
    <t>hour</t>
  </si>
  <si>
    <t>GEARS</t>
  </si>
  <si>
    <t>NOSE</t>
  </si>
  <si>
    <t>MAIN</t>
  </si>
  <si>
    <t>HEAD</t>
  </si>
  <si>
    <t>PASS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</si>
  <si>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</si>
  <si>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</si>
  <si>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</si>
  <si>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</si>
  <si>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</si>
  <si>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</si>
  <si>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</si>
  <si>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</si>
  <si>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</si>
  <si>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</si>
  <si>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X</t>
  </si>
  <si>
    <t>obs</t>
  </si>
  <si>
    <t>vazio</t>
  </si>
  <si>
    <t>01 bombona 20 l</t>
  </si>
  <si>
    <t>02 bombonas 20 l</t>
  </si>
  <si>
    <t>piloto+copiloto</t>
  </si>
  <si>
    <t>full head tank</t>
  </si>
  <si>
    <t>W11</t>
  </si>
  <si>
    <t>W12</t>
  </si>
  <si>
    <t>W13</t>
  </si>
  <si>
    <t>W14</t>
  </si>
  <si>
    <t>FICHA DE BALANCEAMENTO</t>
  </si>
  <si>
    <t>BOMBONA 1</t>
  </si>
  <si>
    <t>BOMBONA 2</t>
  </si>
  <si>
    <t>main tank (70%)</t>
  </si>
  <si>
    <t>MAIN GEAR</t>
  </si>
  <si>
    <t>BOMBONA 3</t>
  </si>
  <si>
    <t>BOMBONA 4</t>
  </si>
  <si>
    <t>PESO</t>
  </si>
  <si>
    <t>TARA</t>
  </si>
  <si>
    <t>MAIN TANK</t>
  </si>
  <si>
    <t>PESAGENS</t>
  </si>
  <si>
    <t>DADOS GERAIS</t>
  </si>
  <si>
    <t>ABASTECIMENTOS</t>
  </si>
  <si>
    <t>posição recionada à face posterior da parede de fogo</t>
  </si>
  <si>
    <t>copiloto</t>
  </si>
  <si>
    <t>BAGGAGE</t>
  </si>
  <si>
    <t>PP-XSN</t>
  </si>
  <si>
    <t>NOSE WHEEL</t>
  </si>
  <si>
    <t>HEADER TANK</t>
  </si>
  <si>
    <t>EMPTY ACT</t>
  </si>
  <si>
    <t>MAIN WHEELS</t>
  </si>
  <si>
    <t>PILOT &amp; CO</t>
  </si>
  <si>
    <t>WEIGHT</t>
  </si>
  <si>
    <t>ARM</t>
  </si>
  <si>
    <t>W1 &amp; W6</t>
  </si>
  <si>
    <t>W2 &amp; W7</t>
  </si>
  <si>
    <t>W3 &amp; W8</t>
  </si>
  <si>
    <t>W4 &amp; W9</t>
  </si>
  <si>
    <t>W5 &amp; W10</t>
  </si>
  <si>
    <t>erro</t>
  </si>
  <si>
    <t>médio</t>
  </si>
  <si>
    <t>adotado</t>
  </si>
  <si>
    <t>PILOTO &amp; COPILOTO</t>
  </si>
  <si>
    <t>W13 &amp; W14</t>
  </si>
  <si>
    <t>W11 &amp; W12</t>
  </si>
  <si>
    <t>CÁLCULOS BALANCEAMENTO PP-XSN</t>
  </si>
  <si>
    <t>FLIGHT (hours)</t>
  </si>
  <si>
    <t>estofamento+ferramentas= 10 kgf @ 1300 mm</t>
  </si>
  <si>
    <t>resulta em:</t>
  </si>
  <si>
    <t>MIN FUEL</t>
  </si>
  <si>
    <t>Inclusão do estofamento e ferramentas (r8)</t>
  </si>
  <si>
    <t>remoção do sistema a vácuo (revisão 10)</t>
  </si>
  <si>
    <t>substituição do alternador (revisão 10)</t>
  </si>
  <si>
    <t>instrumentos painel= -1,5 kgf @ 680 mm</t>
  </si>
  <si>
    <t>bomba de vácuo= -1 kgf @ -250 mm</t>
  </si>
  <si>
    <t>alternador = - 2,5 kgf @ -600 mm</t>
  </si>
  <si>
    <t>-3 kgf no nose gear</t>
  </si>
  <si>
    <t>+13,0 main gear</t>
  </si>
  <si>
    <t>-1,0 main gear</t>
  </si>
  <si>
    <t>-1,5 kgf no nose gear</t>
  </si>
  <si>
    <t>+1,0 main gear</t>
  </si>
  <si>
    <t>-3,5 kgf no nose gear</t>
  </si>
  <si>
    <t>SDBK - SBPA</t>
  </si>
</sst>
</file>

<file path=xl/styles.xml><?xml version="1.0" encoding="utf-8"?>
<styleSheet xmlns="http://schemas.openxmlformats.org/spreadsheetml/2006/main">
  <numFmts count="5">
    <numFmt numFmtId="164" formatCode="#,##0_ ;[Red]\-#,##0\ "/>
    <numFmt numFmtId="165" formatCode="#,##0.0_ ;[Red]\-#,##0.0\ "/>
    <numFmt numFmtId="166" formatCode="0.0"/>
    <numFmt numFmtId="167" formatCode="[$-416]d\-mmm\-yy;@"/>
    <numFmt numFmtId="168" formatCode="#,##0.00_ ;[Red]\-#,##0.00\ "/>
  </numFmts>
  <fonts count="23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125">
        <fgColor rgb="FFFFFF00"/>
      </patternFill>
    </fill>
    <fill>
      <patternFill patternType="gray0625">
        <fgColor rgb="FF00B05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164" fontId="7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Fill="1" applyBorder="1" applyAlignment="1">
      <alignment vertical="center"/>
    </xf>
    <xf numFmtId="164" fontId="10" fillId="3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66" fontId="3" fillId="0" borderId="0" xfId="0" applyNumberFormat="1" applyFont="1" applyAlignment="1" applyProtection="1">
      <alignment vertical="center"/>
      <protection locked="0"/>
    </xf>
    <xf numFmtId="165" fontId="10" fillId="3" borderId="1" xfId="0" applyNumberFormat="1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7" fontId="17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164" fontId="15" fillId="4" borderId="0" xfId="0" applyNumberFormat="1" applyFont="1" applyFill="1" applyAlignment="1">
      <alignment vertical="center"/>
    </xf>
    <xf numFmtId="164" fontId="11" fillId="0" borderId="0" xfId="0" applyNumberFormat="1" applyFont="1" applyFill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4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15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quotePrefix="1" applyAlignment="1">
      <alignment vertical="center"/>
    </xf>
    <xf numFmtId="0" fontId="2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8" fontId="3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4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64" fontId="12" fillId="0" borderId="2" xfId="0" applyNumberFormat="1" applyFont="1" applyFill="1" applyBorder="1" applyAlignment="1">
      <alignment vertical="center"/>
    </xf>
    <xf numFmtId="164" fontId="12" fillId="0" borderId="4" xfId="0" applyNumberFormat="1" applyFont="1" applyFill="1" applyBorder="1" applyAlignment="1">
      <alignment vertical="center"/>
    </xf>
    <xf numFmtId="164" fontId="12" fillId="0" borderId="3" xfId="0" applyNumberFormat="1" applyFont="1" applyFill="1" applyBorder="1" applyAlignment="1">
      <alignment vertical="center"/>
    </xf>
    <xf numFmtId="165" fontId="13" fillId="0" borderId="2" xfId="0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vertical="center"/>
    </xf>
    <xf numFmtId="164" fontId="12" fillId="0" borderId="4" xfId="0" applyNumberFormat="1" applyFont="1" applyBorder="1" applyAlignment="1">
      <alignment vertical="center"/>
    </xf>
    <xf numFmtId="164" fontId="12" fillId="0" borderId="3" xfId="0" applyNumberFormat="1" applyFont="1" applyBorder="1" applyAlignment="1">
      <alignment vertical="center"/>
    </xf>
    <xf numFmtId="164" fontId="12" fillId="0" borderId="2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64" fontId="18" fillId="4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">
    <cellStyle name="Normal" xfId="0" builtinId="0"/>
  </cellStyles>
  <dxfs count="19">
    <dxf>
      <font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1992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 patternType="solid">
          <fgColor theme="0"/>
          <bgColor rgb="FF008A2E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1992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 patternType="solid">
          <fgColor theme="0"/>
          <bgColor rgb="FF008A2E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19929"/>
      <color rgb="FF008A2E"/>
      <color rgb="FF009A46"/>
      <color rgb="FF65E1CC"/>
      <color rgb="FF01730F"/>
      <color rgb="FF35EBC0"/>
      <color rgb="FF59F03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lineMarker"/>
        <c:ser>
          <c:idx val="0"/>
          <c:order val="0"/>
          <c:spPr>
            <a:ln w="22225">
              <a:solidFill>
                <a:srgbClr val="0070C0"/>
              </a:solidFill>
              <a:tailEnd type="arrow" w="lg" len="lg"/>
            </a:ln>
          </c:spPr>
          <c:marker>
            <c:symbol val="circle"/>
            <c:size val="7"/>
            <c:spPr>
              <a:solidFill>
                <a:sysClr val="windowText" lastClr="000000"/>
              </a:solidFill>
              <a:ln>
                <a:noFill/>
              </a:ln>
            </c:spPr>
          </c:marker>
          <c:xVal>
            <c:numRef>
              <c:f>('w&amp;B SILMULATOR'!$E$23,'w&amp;B SILMULATOR'!$E$29)</c:f>
              <c:numCache>
                <c:formatCode>#,##0_ ;[Red]\-#,##0\ </c:formatCode>
                <c:ptCount val="2"/>
                <c:pt idx="0">
                  <c:v>733.56598984771574</c:v>
                </c:pt>
                <c:pt idx="1">
                  <c:v>715.62758620689647</c:v>
                </c:pt>
              </c:numCache>
            </c:numRef>
          </c:xVal>
          <c:yVal>
            <c:numRef>
              <c:f>('w&amp;B SILMULATOR'!$D$23,'w&amp;B SILMULATOR'!$D$29)</c:f>
              <c:numCache>
                <c:formatCode>#,##0_ ;[Red]\-#,##0\ </c:formatCode>
                <c:ptCount val="2"/>
                <c:pt idx="0">
                  <c:v>788</c:v>
                </c:pt>
                <c:pt idx="1">
                  <c:v>725</c:v>
                </c:pt>
              </c:numCache>
            </c:numRef>
          </c:yVal>
          <c:smooth val="1"/>
        </c:ser>
        <c:axId val="62108800"/>
        <c:axId val="62110720"/>
      </c:scatterChart>
      <c:valAx>
        <c:axId val="62108800"/>
        <c:scaling>
          <c:orientation val="minMax"/>
          <c:max val="800"/>
          <c:min val="600"/>
        </c:scaling>
        <c:axPos val="b"/>
        <c:majorGridlines/>
        <c:minorGridlines/>
        <c:numFmt formatCode="#,##0_ ;[Red]\-#,##0\ " sourceLinked="1"/>
        <c:minorTickMark val="in"/>
        <c:tickLblPos val="nextTo"/>
        <c:crossAx val="62110720"/>
        <c:crosses val="autoZero"/>
        <c:crossBetween val="midCat"/>
        <c:majorUnit val="50"/>
        <c:minorUnit val="10"/>
      </c:valAx>
      <c:valAx>
        <c:axId val="62110720"/>
        <c:scaling>
          <c:orientation val="minMax"/>
          <c:max val="900"/>
          <c:min val="500"/>
        </c:scaling>
        <c:axPos val="l"/>
        <c:majorGridlines/>
        <c:minorGridlines/>
        <c:numFmt formatCode="#,##0_ ;[Red]\-#,##0\ " sourceLinked="1"/>
        <c:tickLblPos val="low"/>
        <c:crossAx val="62108800"/>
        <c:crosses val="autoZero"/>
        <c:crossBetween val="midCat"/>
        <c:majorUnit val="100"/>
        <c:minorUnit val="20"/>
      </c:valAx>
      <c:spPr>
        <a:effectLst>
          <a:outerShdw blurRad="254000" dist="50800" dir="5400000" sx="124000" sy="124000" algn="ctr" rotWithShape="0">
            <a:srgbClr val="000000">
              <a:alpha val="0"/>
            </a:srgbClr>
          </a:outerShdw>
        </a:effectLst>
      </c:spPr>
    </c:plotArea>
    <c:plotVisOnly val="1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4</xdr:row>
      <xdr:rowOff>123825</xdr:rowOff>
    </xdr:from>
    <xdr:to>
      <xdr:col>13</xdr:col>
      <xdr:colOff>142875</xdr:colOff>
      <xdr:row>26</xdr:row>
      <xdr:rowOff>66675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552450</xdr:colOff>
      <xdr:row>5</xdr:row>
      <xdr:rowOff>95251</xdr:rowOff>
    </xdr:from>
    <xdr:to>
      <xdr:col>12</xdr:col>
      <xdr:colOff>495300</xdr:colOff>
      <xdr:row>9</xdr:row>
      <xdr:rowOff>123825</xdr:rowOff>
    </xdr:to>
    <xdr:sp macro="" textlink="">
      <xdr:nvSpPr>
        <xdr:cNvPr id="3" name="Rectangle 2"/>
        <xdr:cNvSpPr/>
      </xdr:nvSpPr>
      <xdr:spPr>
        <a:xfrm>
          <a:off x="4410075" y="952501"/>
          <a:ext cx="3600450" cy="676274"/>
        </a:xfrm>
        <a:prstGeom prst="rect">
          <a:avLst/>
        </a:prstGeom>
        <a:solidFill>
          <a:srgbClr val="FF0000">
            <a:alpha val="2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552451</xdr:colOff>
      <xdr:row>9</xdr:row>
      <xdr:rowOff>123824</xdr:rowOff>
    </xdr:from>
    <xdr:to>
      <xdr:col>7</xdr:col>
      <xdr:colOff>352425</xdr:colOff>
      <xdr:row>23</xdr:row>
      <xdr:rowOff>133349</xdr:rowOff>
    </xdr:to>
    <xdr:sp macro="" textlink="">
      <xdr:nvSpPr>
        <xdr:cNvPr id="21" name="Rectangle 20"/>
        <xdr:cNvSpPr/>
      </xdr:nvSpPr>
      <xdr:spPr>
        <a:xfrm>
          <a:off x="4410076" y="1628774"/>
          <a:ext cx="409574" cy="2314575"/>
        </a:xfrm>
        <a:prstGeom prst="rect">
          <a:avLst/>
        </a:prstGeom>
        <a:solidFill>
          <a:srgbClr val="FF0000">
            <a:alpha val="2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11</xdr:col>
      <xdr:colOff>561975</xdr:colOff>
      <xdr:row>9</xdr:row>
      <xdr:rowOff>123825</xdr:rowOff>
    </xdr:from>
    <xdr:to>
      <xdr:col>12</xdr:col>
      <xdr:colOff>495300</xdr:colOff>
      <xdr:row>23</xdr:row>
      <xdr:rowOff>133350</xdr:rowOff>
    </xdr:to>
    <xdr:sp macro="" textlink="">
      <xdr:nvSpPr>
        <xdr:cNvPr id="4" name="Rectangle 3"/>
        <xdr:cNvSpPr/>
      </xdr:nvSpPr>
      <xdr:spPr>
        <a:xfrm>
          <a:off x="7467600" y="1628775"/>
          <a:ext cx="542925" cy="2314575"/>
        </a:xfrm>
        <a:prstGeom prst="rect">
          <a:avLst/>
        </a:prstGeom>
        <a:solidFill>
          <a:srgbClr val="FF0000">
            <a:alpha val="2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11</xdr:col>
      <xdr:colOff>171451</xdr:colOff>
      <xdr:row>11</xdr:row>
      <xdr:rowOff>114301</xdr:rowOff>
    </xdr:from>
    <xdr:to>
      <xdr:col>11</xdr:col>
      <xdr:colOff>561975</xdr:colOff>
      <xdr:row>23</xdr:row>
      <xdr:rowOff>133351</xdr:rowOff>
    </xdr:to>
    <xdr:sp macro="" textlink="">
      <xdr:nvSpPr>
        <xdr:cNvPr id="6" name="Rectangle 5"/>
        <xdr:cNvSpPr/>
      </xdr:nvSpPr>
      <xdr:spPr>
        <a:xfrm>
          <a:off x="7077076" y="1943101"/>
          <a:ext cx="390524" cy="2000250"/>
        </a:xfrm>
        <a:prstGeom prst="rect">
          <a:avLst/>
        </a:prstGeom>
        <a:solidFill>
          <a:srgbClr val="FFFF00">
            <a:alpha val="3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333375</xdr:colOff>
      <xdr:row>9</xdr:row>
      <xdr:rowOff>123825</xdr:rowOff>
    </xdr:from>
    <xdr:to>
      <xdr:col>11</xdr:col>
      <xdr:colOff>561975</xdr:colOff>
      <xdr:row>11</xdr:row>
      <xdr:rowOff>123824</xdr:rowOff>
    </xdr:to>
    <xdr:sp macro="" textlink="">
      <xdr:nvSpPr>
        <xdr:cNvPr id="22" name="Rectangle 21"/>
        <xdr:cNvSpPr/>
      </xdr:nvSpPr>
      <xdr:spPr>
        <a:xfrm>
          <a:off x="4800600" y="1628775"/>
          <a:ext cx="2667000" cy="323849"/>
        </a:xfrm>
        <a:prstGeom prst="rect">
          <a:avLst/>
        </a:prstGeom>
        <a:solidFill>
          <a:srgbClr val="FFFF00">
            <a:alpha val="3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352425</xdr:colOff>
      <xdr:row>11</xdr:row>
      <xdr:rowOff>123825</xdr:rowOff>
    </xdr:from>
    <xdr:to>
      <xdr:col>8</xdr:col>
      <xdr:colOff>9525</xdr:colOff>
      <xdr:row>23</xdr:row>
      <xdr:rowOff>133350</xdr:rowOff>
    </xdr:to>
    <xdr:sp macro="" textlink="">
      <xdr:nvSpPr>
        <xdr:cNvPr id="23" name="Rectangle 22"/>
        <xdr:cNvSpPr/>
      </xdr:nvSpPr>
      <xdr:spPr>
        <a:xfrm>
          <a:off x="4819650" y="1952625"/>
          <a:ext cx="266700" cy="1990725"/>
        </a:xfrm>
        <a:prstGeom prst="rect">
          <a:avLst/>
        </a:prstGeom>
        <a:solidFill>
          <a:srgbClr val="FFFF00">
            <a:alpha val="3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8</xdr:col>
      <xdr:colOff>361951</xdr:colOff>
      <xdr:row>26</xdr:row>
      <xdr:rowOff>95251</xdr:rowOff>
    </xdr:from>
    <xdr:to>
      <xdr:col>10</xdr:col>
      <xdr:colOff>438150</xdr:colOff>
      <xdr:row>28</xdr:row>
      <xdr:rowOff>196758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38776" y="4391026"/>
          <a:ext cx="1295399" cy="463457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D6" sqref="D6:D9"/>
    </sheetView>
  </sheetViews>
  <sheetFormatPr defaultRowHeight="12.75"/>
  <cols>
    <col min="1" max="1" width="3.28515625" style="2" bestFit="1" customWidth="1"/>
    <col min="2" max="2" width="17.7109375" style="2" bestFit="1" customWidth="1"/>
    <col min="3" max="3" width="9.42578125" style="2" customWidth="1"/>
    <col min="4" max="5" width="9.140625" style="3"/>
    <col min="6" max="6" width="9.140625" style="4"/>
    <col min="7" max="16384" width="9.140625" style="2"/>
  </cols>
  <sheetData>
    <row r="1" spans="1:13" ht="16.5" thickBot="1">
      <c r="A1" s="61" t="s">
        <v>29</v>
      </c>
      <c r="B1" s="61"/>
      <c r="C1" s="61"/>
      <c r="D1" s="61"/>
      <c r="E1" s="61"/>
      <c r="F1" s="61"/>
    </row>
    <row r="2" spans="1:13" s="6" customFormat="1" ht="12.75" customHeight="1" thickTop="1">
      <c r="C2" s="6" t="s">
        <v>17</v>
      </c>
      <c r="D2" s="7" t="s">
        <v>28</v>
      </c>
      <c r="E2" s="7" t="s">
        <v>5</v>
      </c>
      <c r="F2" s="8" t="s">
        <v>0</v>
      </c>
      <c r="G2" s="47"/>
      <c r="H2" s="55" t="s">
        <v>116</v>
      </c>
      <c r="I2" s="56"/>
      <c r="J2" s="56"/>
      <c r="K2" s="56"/>
      <c r="L2" s="56"/>
      <c r="M2" s="57"/>
    </row>
    <row r="3" spans="1:13" s="6" customFormat="1" ht="12.75" customHeight="1" thickBot="1">
      <c r="C3" s="6" t="s">
        <v>18</v>
      </c>
      <c r="D3" s="7" t="s">
        <v>1</v>
      </c>
      <c r="E3" s="7" t="s">
        <v>2</v>
      </c>
      <c r="F3" s="8" t="s">
        <v>6</v>
      </c>
      <c r="G3" s="47"/>
      <c r="H3" s="58"/>
      <c r="I3" s="59"/>
      <c r="J3" s="59"/>
      <c r="K3" s="59"/>
      <c r="L3" s="59"/>
      <c r="M3" s="60"/>
    </row>
    <row r="4" spans="1:13" ht="12.75" customHeight="1" thickTop="1">
      <c r="A4" s="53" t="s">
        <v>27</v>
      </c>
      <c r="B4" s="1" t="s">
        <v>21</v>
      </c>
      <c r="C4" s="54"/>
      <c r="D4" s="13">
        <f>1785*0.454</f>
        <v>810.39</v>
      </c>
      <c r="E4" s="62"/>
      <c r="F4" s="63"/>
    </row>
    <row r="5" spans="1:13">
      <c r="A5" s="53"/>
      <c r="B5" s="1" t="s">
        <v>22</v>
      </c>
      <c r="C5" s="54"/>
      <c r="D5" s="13">
        <f>1685*0.454</f>
        <v>764.99</v>
      </c>
      <c r="E5" s="62"/>
      <c r="F5" s="63"/>
    </row>
    <row r="6" spans="1:13">
      <c r="A6" s="53"/>
      <c r="B6" s="1" t="s">
        <v>23</v>
      </c>
      <c r="C6" s="54"/>
      <c r="D6" s="62"/>
      <c r="E6" s="13">
        <f>24.5*25.4</f>
        <v>622.29999999999995</v>
      </c>
      <c r="F6" s="63"/>
    </row>
    <row r="7" spans="1:13">
      <c r="A7" s="53"/>
      <c r="B7" s="1" t="s">
        <v>24</v>
      </c>
      <c r="C7" s="54"/>
      <c r="D7" s="62"/>
      <c r="E7" s="13">
        <f>(E9-E6)*0.1+E6</f>
        <v>637.03199999999993</v>
      </c>
      <c r="F7" s="63"/>
    </row>
    <row r="8" spans="1:13">
      <c r="A8" s="53"/>
      <c r="B8" s="1" t="s">
        <v>25</v>
      </c>
      <c r="C8" s="54"/>
      <c r="D8" s="62"/>
      <c r="E8" s="13">
        <f>E9-(E9-E6)*0.15</f>
        <v>747.52200000000005</v>
      </c>
      <c r="F8" s="63"/>
    </row>
    <row r="9" spans="1:13">
      <c r="A9" s="53"/>
      <c r="B9" s="1" t="s">
        <v>26</v>
      </c>
      <c r="C9" s="54"/>
      <c r="D9" s="62"/>
      <c r="E9" s="13">
        <f>30.3*25.4</f>
        <v>769.62</v>
      </c>
      <c r="F9" s="63"/>
    </row>
    <row r="10" spans="1:13">
      <c r="A10" s="53"/>
      <c r="B10" s="1" t="s">
        <v>103</v>
      </c>
      <c r="C10" s="54"/>
      <c r="D10" s="51">
        <v>1.5</v>
      </c>
      <c r="E10" s="15" t="s">
        <v>37</v>
      </c>
      <c r="F10" s="63"/>
    </row>
    <row r="11" spans="1:13">
      <c r="A11" s="53"/>
      <c r="B11" s="1" t="s">
        <v>36</v>
      </c>
      <c r="C11" s="54"/>
      <c r="D11" s="51">
        <v>0.75</v>
      </c>
      <c r="E11" s="15" t="s">
        <v>37</v>
      </c>
      <c r="F11" s="16"/>
    </row>
    <row r="12" spans="1:13">
      <c r="A12" s="53" t="s">
        <v>12</v>
      </c>
      <c r="B12" s="1" t="s">
        <v>9</v>
      </c>
      <c r="C12" s="54"/>
      <c r="D12" s="11">
        <f>DADOS!B10</f>
        <v>178</v>
      </c>
      <c r="E12" s="11">
        <v>-155</v>
      </c>
      <c r="F12" s="12">
        <f>D12*E12/1000</f>
        <v>-27.59</v>
      </c>
    </row>
    <row r="13" spans="1:13">
      <c r="A13" s="53"/>
      <c r="B13" s="1" t="s">
        <v>10</v>
      </c>
      <c r="C13" s="54"/>
      <c r="D13" s="11">
        <f>DADOS!C5/2</f>
        <v>180</v>
      </c>
      <c r="E13" s="11">
        <v>968</v>
      </c>
      <c r="F13" s="12">
        <f t="shared" ref="F13:F21" si="0">D13*E13/1000</f>
        <v>174.24</v>
      </c>
    </row>
    <row r="14" spans="1:13">
      <c r="A14" s="53"/>
      <c r="B14" s="1" t="s">
        <v>11</v>
      </c>
      <c r="C14" s="54"/>
      <c r="D14" s="11">
        <f>D13</f>
        <v>180</v>
      </c>
      <c r="E14" s="11">
        <v>968</v>
      </c>
      <c r="F14" s="12">
        <f t="shared" si="0"/>
        <v>174.24</v>
      </c>
    </row>
    <row r="15" spans="1:13">
      <c r="A15" s="53"/>
      <c r="B15" s="1" t="s">
        <v>12</v>
      </c>
      <c r="C15" s="54"/>
      <c r="D15" s="11">
        <f>SUM(D12:D14)</f>
        <v>538</v>
      </c>
      <c r="E15" s="11">
        <f>F15*1000/D15</f>
        <v>596.44981412639402</v>
      </c>
      <c r="F15" s="11">
        <f>SUM(F12:F14)</f>
        <v>320.89</v>
      </c>
    </row>
    <row r="16" spans="1:13">
      <c r="A16" s="53" t="s">
        <v>20</v>
      </c>
      <c r="B16" s="1" t="s">
        <v>7</v>
      </c>
      <c r="C16" s="9">
        <v>40</v>
      </c>
      <c r="D16" s="11">
        <f>C16*0.7</f>
        <v>28</v>
      </c>
      <c r="E16" s="11">
        <f>CÁLCULOS!L33</f>
        <v>210</v>
      </c>
      <c r="F16" s="12">
        <f t="shared" si="0"/>
        <v>5.88</v>
      </c>
    </row>
    <row r="17" spans="1:6">
      <c r="A17" s="53"/>
      <c r="B17" s="1" t="s">
        <v>8</v>
      </c>
      <c r="C17" s="9">
        <v>110</v>
      </c>
      <c r="D17" s="11">
        <f>C17*0.7</f>
        <v>77</v>
      </c>
      <c r="E17" s="11">
        <f>CÁLCULOS!L45</f>
        <v>940</v>
      </c>
      <c r="F17" s="12">
        <f t="shared" si="0"/>
        <v>72.38</v>
      </c>
    </row>
    <row r="18" spans="1:6">
      <c r="A18" s="53"/>
      <c r="B18" s="1" t="s">
        <v>30</v>
      </c>
      <c r="C18" s="14">
        <f>C16+C17</f>
        <v>150</v>
      </c>
      <c r="D18" s="11">
        <f>D16+D17</f>
        <v>105</v>
      </c>
      <c r="E18" s="11">
        <f>F18*1000/D18</f>
        <v>745.33333333333314</v>
      </c>
      <c r="F18" s="12">
        <f>F16+F17</f>
        <v>78.259999999999991</v>
      </c>
    </row>
    <row r="19" spans="1:6">
      <c r="A19" s="53"/>
      <c r="B19" s="1" t="s">
        <v>13</v>
      </c>
      <c r="C19" s="54"/>
      <c r="D19" s="10">
        <v>75</v>
      </c>
      <c r="E19" s="11">
        <f>CÁLCULOS!L27</f>
        <v>1150</v>
      </c>
      <c r="F19" s="12">
        <f t="shared" si="0"/>
        <v>86.25</v>
      </c>
    </row>
    <row r="20" spans="1:6">
      <c r="A20" s="53"/>
      <c r="B20" s="1" t="s">
        <v>14</v>
      </c>
      <c r="C20" s="54"/>
      <c r="D20" s="10">
        <v>55</v>
      </c>
      <c r="E20" s="11">
        <f>CÁLCULOS!L27</f>
        <v>1150</v>
      </c>
      <c r="F20" s="12">
        <f t="shared" si="0"/>
        <v>63.25</v>
      </c>
    </row>
    <row r="21" spans="1:6">
      <c r="A21" s="53"/>
      <c r="B21" s="1" t="s">
        <v>79</v>
      </c>
      <c r="C21" s="54"/>
      <c r="D21" s="10">
        <v>15</v>
      </c>
      <c r="E21" s="11">
        <f>CÁLCULOS!L18</f>
        <v>1960</v>
      </c>
      <c r="F21" s="12">
        <f t="shared" si="0"/>
        <v>29.4</v>
      </c>
    </row>
    <row r="22" spans="1:6">
      <c r="A22" s="53"/>
      <c r="B22" s="1" t="s">
        <v>19</v>
      </c>
      <c r="C22" s="54"/>
      <c r="D22" s="3">
        <f>SUM(D16:D21)-D18</f>
        <v>250</v>
      </c>
      <c r="E22" s="11">
        <f>F22*1000/D22</f>
        <v>1028.6399999999999</v>
      </c>
      <c r="F22" s="11">
        <f>SUM(F16:F21)-F18</f>
        <v>257.15999999999997</v>
      </c>
    </row>
    <row r="23" spans="1:6" ht="15.75">
      <c r="A23" s="53"/>
      <c r="B23" s="1" t="s">
        <v>16</v>
      </c>
      <c r="C23" s="54"/>
      <c r="D23" s="5">
        <f>D15+D22</f>
        <v>788</v>
      </c>
      <c r="E23" s="5">
        <f>F23*1000/D23</f>
        <v>733.56598984771574</v>
      </c>
      <c r="F23" s="11">
        <f>F15+F22</f>
        <v>578.04999999999995</v>
      </c>
    </row>
    <row r="24" spans="1:6" ht="12.75" customHeight="1">
      <c r="A24" s="53" t="s">
        <v>34</v>
      </c>
      <c r="B24" s="2" t="s">
        <v>100</v>
      </c>
      <c r="C24" s="28">
        <v>3</v>
      </c>
      <c r="D24" s="2"/>
      <c r="E24" s="2"/>
      <c r="F24" s="2"/>
    </row>
    <row r="25" spans="1:6">
      <c r="A25" s="53"/>
      <c r="B25" s="2" t="s">
        <v>35</v>
      </c>
      <c r="C25" s="9">
        <v>30</v>
      </c>
      <c r="D25" s="2"/>
      <c r="E25" s="2"/>
      <c r="F25" s="2"/>
    </row>
    <row r="26" spans="1:6">
      <c r="A26" s="53"/>
      <c r="B26" s="2" t="s">
        <v>31</v>
      </c>
      <c r="C26" s="2">
        <f>C28-C27</f>
        <v>40</v>
      </c>
      <c r="D26" s="11">
        <f>C26*0.7</f>
        <v>28</v>
      </c>
      <c r="E26" s="11">
        <f>E16</f>
        <v>210</v>
      </c>
      <c r="F26" s="12">
        <f t="shared" ref="F26:F27" si="1">D26*E26/1000</f>
        <v>5.88</v>
      </c>
    </row>
    <row r="27" spans="1:6">
      <c r="A27" s="53"/>
      <c r="B27" s="2" t="s">
        <v>32</v>
      </c>
      <c r="C27" s="2">
        <f>IF(C17-C24*C25&gt;0,C17-C24*C25,0)</f>
        <v>20</v>
      </c>
      <c r="D27" s="11">
        <f>C27*0.7</f>
        <v>14</v>
      </c>
      <c r="E27" s="11">
        <f>E17</f>
        <v>940</v>
      </c>
      <c r="F27" s="12">
        <f t="shared" si="1"/>
        <v>13.16</v>
      </c>
    </row>
    <row r="28" spans="1:6" ht="15.75">
      <c r="A28" s="53"/>
      <c r="B28" s="2" t="s">
        <v>33</v>
      </c>
      <c r="C28" s="50">
        <f>C18-C24*C25</f>
        <v>60</v>
      </c>
      <c r="D28" s="11">
        <f>D26+D27</f>
        <v>42</v>
      </c>
      <c r="E28" s="11">
        <f>F28*1000/D28</f>
        <v>453.33333333333331</v>
      </c>
      <c r="F28" s="12">
        <f>F26+F27</f>
        <v>19.04</v>
      </c>
    </row>
    <row r="29" spans="1:6" ht="15.75">
      <c r="A29" s="53"/>
      <c r="B29" s="2" t="s">
        <v>16</v>
      </c>
      <c r="D29" s="5">
        <f>D23+D28-D18</f>
        <v>725</v>
      </c>
      <c r="E29" s="5">
        <f>F29*1000/D29</f>
        <v>715.62758620689647</v>
      </c>
      <c r="F29" s="12">
        <f>F23+F28-F18</f>
        <v>518.82999999999993</v>
      </c>
    </row>
    <row r="30" spans="1:6">
      <c r="D30" s="2"/>
      <c r="E30" s="2"/>
      <c r="F30" s="2"/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H2:M3"/>
    <mergeCell ref="A1:F1"/>
    <mergeCell ref="E4:E5"/>
    <mergeCell ref="D6:D9"/>
    <mergeCell ref="F4:F10"/>
    <mergeCell ref="A24:A29"/>
    <mergeCell ref="A4:A11"/>
    <mergeCell ref="A16:A23"/>
    <mergeCell ref="A12:A15"/>
    <mergeCell ref="C4:C15"/>
    <mergeCell ref="C19:C23"/>
  </mergeCells>
  <conditionalFormatting sqref="D23">
    <cfRule type="cellIs" dxfId="18" priority="26" operator="between">
      <formula>$D$4</formula>
      <formula>$D$5</formula>
    </cfRule>
    <cfRule type="cellIs" dxfId="17" priority="27" operator="lessThan">
      <formula>$D$5</formula>
    </cfRule>
    <cfRule type="cellIs" dxfId="16" priority="28" operator="greaterThan">
      <formula>$D$4</formula>
    </cfRule>
  </conditionalFormatting>
  <conditionalFormatting sqref="E23">
    <cfRule type="cellIs" dxfId="15" priority="29" operator="between">
      <formula>$E$7</formula>
      <formula>$E$8</formula>
    </cfRule>
    <cfRule type="cellIs" dxfId="14" priority="30" operator="between">
      <formula>$E$8</formula>
      <formula>$E$9</formula>
    </cfRule>
    <cfRule type="cellIs" dxfId="13" priority="31" operator="between">
      <formula>$E$6</formula>
      <formula>$E$7</formula>
    </cfRule>
    <cfRule type="cellIs" dxfId="12" priority="32" operator="lessThan">
      <formula>$E$6</formula>
    </cfRule>
    <cfRule type="cellIs" dxfId="11" priority="33" operator="greaterThan">
      <formula>$E$9</formula>
    </cfRule>
  </conditionalFormatting>
  <conditionalFormatting sqref="D29">
    <cfRule type="cellIs" dxfId="10" priority="13" operator="between">
      <formula>$D$4</formula>
      <formula>$D$5</formula>
    </cfRule>
    <cfRule type="cellIs" dxfId="9" priority="14" operator="lessThan">
      <formula>$D$5</formula>
    </cfRule>
    <cfRule type="cellIs" dxfId="8" priority="15" operator="greaterThan">
      <formula>$D$4</formula>
    </cfRule>
  </conditionalFormatting>
  <conditionalFormatting sqref="E29">
    <cfRule type="cellIs" dxfId="7" priority="8" operator="between">
      <formula>$E$7</formula>
      <formula>$E$8</formula>
    </cfRule>
    <cfRule type="cellIs" dxfId="6" priority="9" operator="between">
      <formula>$E$8</formula>
      <formula>$E$9</formula>
    </cfRule>
    <cfRule type="cellIs" dxfId="5" priority="10" operator="between">
      <formula>$E$6</formula>
      <formula>$E$7</formula>
    </cfRule>
    <cfRule type="cellIs" dxfId="4" priority="11" operator="lessThan">
      <formula>$E$6</formula>
    </cfRule>
    <cfRule type="cellIs" dxfId="3" priority="12" operator="greaterThan">
      <formula>$E$9</formula>
    </cfRule>
  </conditionalFormatting>
  <conditionalFormatting sqref="C28">
    <cfRule type="cellIs" dxfId="2" priority="3" operator="lessThanOrEqual">
      <formula>D10*C25</formula>
    </cfRule>
    <cfRule type="cellIs" dxfId="1" priority="2" operator="lessThanOrEqual">
      <formula>D11*C25</formula>
    </cfRule>
    <cfRule type="cellIs" dxfId="0" priority="1" operator="greaterThan">
      <formula>D10*C25</formula>
    </cfRule>
  </conditionalFormatting>
  <printOptions horizontalCentered="1" verticalCentered="1"/>
  <pageMargins left="0.59055118110236227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B18" sqref="B18"/>
    </sheetView>
  </sheetViews>
  <sheetFormatPr defaultRowHeight="15.75"/>
  <cols>
    <col min="1" max="1" width="6.5703125" style="17" bestFit="1" customWidth="1"/>
    <col min="2" max="7" width="12.7109375" style="17" customWidth="1"/>
    <col min="8" max="8" width="17.7109375" style="18" bestFit="1" customWidth="1"/>
    <col min="9" max="9" width="9.140625" style="17"/>
    <col min="10" max="10" width="42.5703125" style="17" bestFit="1" customWidth="1"/>
    <col min="11" max="16384" width="9.140625" style="17"/>
  </cols>
  <sheetData>
    <row r="1" spans="1:10" ht="23.25">
      <c r="A1" s="84" t="s">
        <v>64</v>
      </c>
      <c r="B1" s="85"/>
      <c r="C1" s="85"/>
      <c r="D1" s="85"/>
      <c r="E1" s="85"/>
      <c r="F1" s="86"/>
      <c r="G1" s="33" t="s">
        <v>80</v>
      </c>
      <c r="H1" s="34">
        <v>40135</v>
      </c>
      <c r="J1" s="49" t="s">
        <v>104</v>
      </c>
    </row>
    <row r="2" spans="1:10" ht="21">
      <c r="A2" s="81" t="s">
        <v>74</v>
      </c>
      <c r="B2" s="82"/>
      <c r="C2" s="82"/>
      <c r="D2" s="82"/>
      <c r="E2" s="82"/>
      <c r="F2" s="82"/>
      <c r="G2" s="82"/>
      <c r="H2" s="83"/>
      <c r="J2" s="17" t="s">
        <v>101</v>
      </c>
    </row>
    <row r="3" spans="1:10" ht="18.75">
      <c r="A3" s="19"/>
      <c r="B3" s="65" t="s">
        <v>38</v>
      </c>
      <c r="C3" s="65"/>
      <c r="D3" s="65" t="s">
        <v>17</v>
      </c>
      <c r="E3" s="65"/>
      <c r="F3" s="65" t="s">
        <v>20</v>
      </c>
      <c r="G3" s="65"/>
      <c r="H3" s="87" t="s">
        <v>54</v>
      </c>
      <c r="J3" s="17" t="s">
        <v>102</v>
      </c>
    </row>
    <row r="4" spans="1:10" ht="18.75">
      <c r="A4" s="19"/>
      <c r="B4" s="27" t="s">
        <v>39</v>
      </c>
      <c r="C4" s="27" t="s">
        <v>40</v>
      </c>
      <c r="D4" s="27" t="s">
        <v>41</v>
      </c>
      <c r="E4" s="27" t="s">
        <v>40</v>
      </c>
      <c r="F4" s="27" t="s">
        <v>42</v>
      </c>
      <c r="G4" s="27" t="s">
        <v>79</v>
      </c>
      <c r="H4" s="88"/>
      <c r="J4" s="48" t="s">
        <v>111</v>
      </c>
    </row>
    <row r="5" spans="1:10" ht="26.25">
      <c r="A5" s="19" t="s">
        <v>43</v>
      </c>
      <c r="B5" s="24" t="s">
        <v>53</v>
      </c>
      <c r="C5" s="26">
        <f>347+13-1+1</f>
        <v>360</v>
      </c>
      <c r="D5" s="21">
        <v>0</v>
      </c>
      <c r="E5" s="21">
        <v>0</v>
      </c>
      <c r="F5" s="21">
        <v>0</v>
      </c>
      <c r="G5" s="21">
        <v>0</v>
      </c>
      <c r="H5" s="20" t="s">
        <v>55</v>
      </c>
      <c r="J5" s="48" t="s">
        <v>110</v>
      </c>
    </row>
    <row r="6" spans="1:10" ht="26.25">
      <c r="A6" s="19" t="s">
        <v>44</v>
      </c>
      <c r="B6" s="24" t="s">
        <v>53</v>
      </c>
      <c r="C6" s="26">
        <f>378+13-1+1</f>
        <v>391</v>
      </c>
      <c r="D6" s="21">
        <v>0</v>
      </c>
      <c r="E6" s="21">
        <v>0</v>
      </c>
      <c r="F6" s="21">
        <v>0</v>
      </c>
      <c r="G6" s="22">
        <f>C28</f>
        <v>16.2</v>
      </c>
      <c r="H6" s="20" t="s">
        <v>56</v>
      </c>
      <c r="J6" s="49" t="s">
        <v>105</v>
      </c>
    </row>
    <row r="7" spans="1:10" ht="26.25">
      <c r="A7" s="19" t="s">
        <v>45</v>
      </c>
      <c r="B7" s="24" t="s">
        <v>53</v>
      </c>
      <c r="C7" s="26">
        <f>408+13-1+1</f>
        <v>421</v>
      </c>
      <c r="D7" s="21">
        <v>0</v>
      </c>
      <c r="E7" s="21">
        <v>0</v>
      </c>
      <c r="F7" s="21">
        <v>0</v>
      </c>
      <c r="G7" s="22">
        <f>C28+C29</f>
        <v>32.700000000000003</v>
      </c>
      <c r="H7" s="20" t="s">
        <v>57</v>
      </c>
      <c r="J7" s="17" t="s">
        <v>108</v>
      </c>
    </row>
    <row r="8" spans="1:10" ht="26.25">
      <c r="A8" s="19" t="s">
        <v>46</v>
      </c>
      <c r="B8" s="24" t="s">
        <v>53</v>
      </c>
      <c r="C8" s="26">
        <f>437+13-1+1</f>
        <v>450</v>
      </c>
      <c r="D8" s="21">
        <v>0</v>
      </c>
      <c r="E8" s="21">
        <v>0</v>
      </c>
      <c r="F8" s="22">
        <f>C23</f>
        <v>76.7</v>
      </c>
      <c r="G8" s="21">
        <v>0</v>
      </c>
      <c r="H8" s="20" t="s">
        <v>78</v>
      </c>
      <c r="J8" s="17" t="s">
        <v>107</v>
      </c>
    </row>
    <row r="9" spans="1:10" ht="26.25">
      <c r="A9" s="19" t="s">
        <v>47</v>
      </c>
      <c r="B9" s="24" t="s">
        <v>53</v>
      </c>
      <c r="C9" s="26">
        <f>522+13-1+1</f>
        <v>535</v>
      </c>
      <c r="D9" s="21">
        <v>0</v>
      </c>
      <c r="E9" s="21">
        <v>0</v>
      </c>
      <c r="F9" s="22">
        <f>C22+C23</f>
        <v>151.9</v>
      </c>
      <c r="G9" s="21">
        <v>0</v>
      </c>
      <c r="H9" s="20" t="s">
        <v>58</v>
      </c>
      <c r="J9" s="17" t="s">
        <v>102</v>
      </c>
    </row>
    <row r="10" spans="1:10" ht="26.25">
      <c r="A10" s="19" t="s">
        <v>48</v>
      </c>
      <c r="B10" s="26">
        <f>186-3-1.5-3.5</f>
        <v>178</v>
      </c>
      <c r="C10" s="24" t="s">
        <v>53</v>
      </c>
      <c r="D10" s="21">
        <v>0</v>
      </c>
      <c r="E10" s="21">
        <v>0</v>
      </c>
      <c r="F10" s="21">
        <v>0</v>
      </c>
      <c r="G10" s="21">
        <v>0</v>
      </c>
      <c r="H10" s="20" t="s">
        <v>55</v>
      </c>
      <c r="J10" s="48" t="s">
        <v>112</v>
      </c>
    </row>
    <row r="11" spans="1:10" ht="26.25">
      <c r="A11" s="19" t="s">
        <v>49</v>
      </c>
      <c r="B11" s="26">
        <f>172-3-1.5-3.5</f>
        <v>164</v>
      </c>
      <c r="C11" s="24" t="s">
        <v>53</v>
      </c>
      <c r="D11" s="21">
        <v>0</v>
      </c>
      <c r="E11" s="21">
        <v>0</v>
      </c>
      <c r="F11" s="21">
        <v>0</v>
      </c>
      <c r="G11" s="22">
        <f>C28</f>
        <v>16.2</v>
      </c>
      <c r="H11" s="20" t="s">
        <v>56</v>
      </c>
      <c r="J11" s="48" t="s">
        <v>113</v>
      </c>
    </row>
    <row r="12" spans="1:10" ht="26.25">
      <c r="A12" s="19" t="s">
        <v>50</v>
      </c>
      <c r="B12" s="26">
        <f>157-3-1.5-3.5</f>
        <v>149</v>
      </c>
      <c r="C12" s="24" t="s">
        <v>53</v>
      </c>
      <c r="D12" s="21">
        <v>0</v>
      </c>
      <c r="E12" s="21">
        <v>0</v>
      </c>
      <c r="F12" s="21">
        <v>0</v>
      </c>
      <c r="G12" s="22">
        <f>C28+C29</f>
        <v>32.700000000000003</v>
      </c>
      <c r="H12" s="20" t="s">
        <v>57</v>
      </c>
      <c r="J12" s="49" t="s">
        <v>106</v>
      </c>
    </row>
    <row r="13" spans="1:10" ht="26.25">
      <c r="A13" s="19" t="s">
        <v>51</v>
      </c>
      <c r="B13" s="26">
        <f>175-3-1.5-3.5</f>
        <v>167</v>
      </c>
      <c r="C13" s="24" t="s">
        <v>53</v>
      </c>
      <c r="D13" s="21">
        <v>0</v>
      </c>
      <c r="E13" s="21">
        <v>0</v>
      </c>
      <c r="F13" s="22">
        <f>C23</f>
        <v>76.7</v>
      </c>
      <c r="G13" s="21">
        <v>0</v>
      </c>
      <c r="H13" s="20" t="s">
        <v>78</v>
      </c>
      <c r="J13" s="17" t="s">
        <v>109</v>
      </c>
    </row>
    <row r="14" spans="1:10" ht="26.25">
      <c r="A14" s="19" t="s">
        <v>52</v>
      </c>
      <c r="B14" s="26">
        <f>162-3-1.5-3.5</f>
        <v>154</v>
      </c>
      <c r="C14" s="24" t="s">
        <v>53</v>
      </c>
      <c r="D14" s="21">
        <v>0</v>
      </c>
      <c r="E14" s="21">
        <v>0</v>
      </c>
      <c r="F14" s="22">
        <f>C22+C23</f>
        <v>151.9</v>
      </c>
      <c r="G14" s="21">
        <v>0</v>
      </c>
      <c r="H14" s="20" t="s">
        <v>58</v>
      </c>
      <c r="J14" s="17" t="s">
        <v>102</v>
      </c>
    </row>
    <row r="15" spans="1:10" ht="26.25">
      <c r="A15" s="19" t="s">
        <v>60</v>
      </c>
      <c r="B15" s="26">
        <f>205-3-1.5-3.5</f>
        <v>197</v>
      </c>
      <c r="C15" s="24" t="s">
        <v>53</v>
      </c>
      <c r="D15" s="22">
        <f>C28+C29-D28-D29</f>
        <v>28.100000000000005</v>
      </c>
      <c r="E15" s="21">
        <v>0</v>
      </c>
      <c r="F15" s="21">
        <v>0</v>
      </c>
      <c r="G15" s="21">
        <v>0</v>
      </c>
      <c r="H15" s="20" t="s">
        <v>59</v>
      </c>
      <c r="J15" s="48" t="s">
        <v>114</v>
      </c>
    </row>
    <row r="16" spans="1:10" ht="26.25">
      <c r="A16" s="19" t="s">
        <v>61</v>
      </c>
      <c r="B16" s="24" t="s">
        <v>53</v>
      </c>
      <c r="C16" s="26">
        <f>356+13-1+1</f>
        <v>369</v>
      </c>
      <c r="D16" s="22">
        <f>D15</f>
        <v>28.100000000000005</v>
      </c>
      <c r="E16" s="21">
        <v>0</v>
      </c>
      <c r="F16" s="21">
        <v>0</v>
      </c>
      <c r="G16" s="21">
        <v>0</v>
      </c>
      <c r="H16" s="20" t="s">
        <v>59</v>
      </c>
      <c r="J16" s="48" t="s">
        <v>115</v>
      </c>
    </row>
    <row r="17" spans="1:10" ht="26.25">
      <c r="A17" s="19" t="s">
        <v>62</v>
      </c>
      <c r="B17" s="24" t="s">
        <v>53</v>
      </c>
      <c r="C17" s="26">
        <f>427+13-1+1</f>
        <v>440</v>
      </c>
      <c r="D17" s="21">
        <v>0</v>
      </c>
      <c r="E17" s="22">
        <f>SUM(E28:E31)-SUM(F28:F31)</f>
        <v>81.899999999999991</v>
      </c>
      <c r="F17" s="21">
        <v>0</v>
      </c>
      <c r="G17" s="21">
        <v>0</v>
      </c>
      <c r="H17" s="20" t="s">
        <v>67</v>
      </c>
    </row>
    <row r="18" spans="1:10" ht="26.25">
      <c r="A18" s="19" t="s">
        <v>63</v>
      </c>
      <c r="B18" s="26">
        <f>189-3-1.5-3.5</f>
        <v>181</v>
      </c>
      <c r="C18" s="24" t="s">
        <v>53</v>
      </c>
      <c r="D18" s="21">
        <v>0</v>
      </c>
      <c r="E18" s="22">
        <f>E17</f>
        <v>81.899999999999991</v>
      </c>
      <c r="F18" s="21">
        <v>0</v>
      </c>
      <c r="G18" s="21">
        <v>0</v>
      </c>
      <c r="H18" s="20" t="s">
        <v>67</v>
      </c>
    </row>
    <row r="19" spans="1:10" ht="26.25" customHeight="1">
      <c r="A19" s="81" t="s">
        <v>75</v>
      </c>
      <c r="B19" s="82"/>
      <c r="C19" s="82"/>
      <c r="D19" s="82"/>
      <c r="E19" s="82"/>
      <c r="F19" s="82"/>
      <c r="G19" s="82"/>
      <c r="H19" s="83"/>
    </row>
    <row r="20" spans="1:10" ht="26.25">
      <c r="A20" s="64" t="s">
        <v>9</v>
      </c>
      <c r="B20" s="64"/>
      <c r="C20" s="26">
        <v>-155</v>
      </c>
      <c r="D20" s="23" t="s">
        <v>4</v>
      </c>
      <c r="E20" s="68" t="s">
        <v>77</v>
      </c>
      <c r="F20" s="69"/>
      <c r="G20" s="69"/>
      <c r="H20" s="70"/>
    </row>
    <row r="21" spans="1:10" ht="26.25">
      <c r="A21" s="64" t="s">
        <v>68</v>
      </c>
      <c r="B21" s="64"/>
      <c r="C21" s="26">
        <v>968</v>
      </c>
      <c r="D21" s="23" t="s">
        <v>4</v>
      </c>
      <c r="E21" s="68" t="s">
        <v>77</v>
      </c>
      <c r="F21" s="69"/>
      <c r="G21" s="69"/>
      <c r="H21" s="70"/>
      <c r="J21" s="52"/>
    </row>
    <row r="22" spans="1:10" ht="26.25">
      <c r="A22" s="66" t="s">
        <v>13</v>
      </c>
      <c r="B22" s="67"/>
      <c r="C22" s="29">
        <v>75.2</v>
      </c>
      <c r="D22" s="23" t="s">
        <v>3</v>
      </c>
      <c r="E22" s="75"/>
      <c r="F22" s="76"/>
      <c r="G22" s="76"/>
      <c r="H22" s="77"/>
    </row>
    <row r="23" spans="1:10" ht="26.25">
      <c r="A23" s="66" t="s">
        <v>14</v>
      </c>
      <c r="B23" s="67"/>
      <c r="C23" s="29">
        <v>76.7</v>
      </c>
      <c r="D23" s="23" t="s">
        <v>3</v>
      </c>
      <c r="E23" s="78"/>
      <c r="F23" s="79"/>
      <c r="G23" s="79"/>
      <c r="H23" s="80"/>
    </row>
    <row r="24" spans="1:10" ht="26.25">
      <c r="A24" s="66"/>
      <c r="B24" s="67"/>
      <c r="C24" s="25"/>
      <c r="D24" s="23"/>
      <c r="E24" s="78"/>
      <c r="F24" s="79"/>
      <c r="G24" s="79"/>
      <c r="H24" s="80"/>
    </row>
    <row r="25" spans="1:10" ht="26.25" customHeight="1">
      <c r="A25" s="81" t="s">
        <v>76</v>
      </c>
      <c r="B25" s="82"/>
      <c r="C25" s="82"/>
      <c r="D25" s="82"/>
      <c r="E25" s="82"/>
      <c r="F25" s="82"/>
      <c r="G25" s="82"/>
      <c r="H25" s="83"/>
    </row>
    <row r="26" spans="1:10" ht="26.25">
      <c r="A26" s="64"/>
      <c r="B26" s="64"/>
      <c r="C26" s="71" t="s">
        <v>7</v>
      </c>
      <c r="D26" s="72"/>
      <c r="E26" s="73" t="s">
        <v>73</v>
      </c>
      <c r="F26" s="74"/>
      <c r="G26" s="24"/>
      <c r="H26" s="24"/>
    </row>
    <row r="27" spans="1:10" ht="26.25">
      <c r="A27" s="64"/>
      <c r="B27" s="64"/>
      <c r="C27" s="31" t="s">
        <v>71</v>
      </c>
      <c r="D27" s="32" t="s">
        <v>72</v>
      </c>
      <c r="E27" s="32" t="s">
        <v>71</v>
      </c>
      <c r="F27" s="32" t="s">
        <v>72</v>
      </c>
      <c r="G27" s="24"/>
      <c r="H27" s="24"/>
    </row>
    <row r="28" spans="1:10" ht="26.25">
      <c r="A28" s="64" t="s">
        <v>65</v>
      </c>
      <c r="B28" s="64"/>
      <c r="C28" s="29">
        <v>16.2</v>
      </c>
      <c r="D28" s="29">
        <v>1.7</v>
      </c>
      <c r="E28" s="29">
        <v>16.3</v>
      </c>
      <c r="F28" s="29">
        <v>0.8</v>
      </c>
      <c r="G28" s="23" t="s">
        <v>3</v>
      </c>
      <c r="H28" s="24"/>
    </row>
    <row r="29" spans="1:10" ht="26.25">
      <c r="A29" s="64" t="s">
        <v>66</v>
      </c>
      <c r="B29" s="64"/>
      <c r="C29" s="29">
        <v>16.5</v>
      </c>
      <c r="D29" s="29">
        <v>2.9</v>
      </c>
      <c r="E29" s="29">
        <v>15.9</v>
      </c>
      <c r="F29" s="29">
        <v>0.8</v>
      </c>
      <c r="G29" s="23" t="s">
        <v>3</v>
      </c>
      <c r="H29" s="24"/>
    </row>
    <row r="30" spans="1:10" ht="26.25">
      <c r="A30" s="64" t="s">
        <v>69</v>
      </c>
      <c r="B30" s="64"/>
      <c r="C30" s="30"/>
      <c r="D30" s="30"/>
      <c r="E30" s="29">
        <v>37.4</v>
      </c>
      <c r="F30" s="29">
        <v>2.1</v>
      </c>
      <c r="G30" s="23" t="s">
        <v>3</v>
      </c>
      <c r="H30" s="24"/>
    </row>
    <row r="31" spans="1:10" ht="26.25">
      <c r="A31" s="64" t="s">
        <v>70</v>
      </c>
      <c r="B31" s="64"/>
      <c r="C31" s="30"/>
      <c r="D31" s="30"/>
      <c r="E31" s="29">
        <v>18.100000000000001</v>
      </c>
      <c r="F31" s="29">
        <v>2.1</v>
      </c>
      <c r="G31" s="23" t="s">
        <v>3</v>
      </c>
      <c r="H31" s="24"/>
    </row>
  </sheetData>
  <sheetProtection sheet="1" formatCells="0" formatColumns="0" formatRows="0" insertColumns="0" insertRows="0" insertHyperlinks="0" deleteColumns="0" deleteRows="0" sort="0" autoFilter="0" pivotTables="0"/>
  <mergeCells count="26">
    <mergeCell ref="A1:F1"/>
    <mergeCell ref="A2:H2"/>
    <mergeCell ref="A19:H19"/>
    <mergeCell ref="H3:H4"/>
    <mergeCell ref="E20:H20"/>
    <mergeCell ref="F3:G3"/>
    <mergeCell ref="D3:E3"/>
    <mergeCell ref="A20:B20"/>
    <mergeCell ref="E21:H21"/>
    <mergeCell ref="C26:D26"/>
    <mergeCell ref="E26:F26"/>
    <mergeCell ref="A21:B21"/>
    <mergeCell ref="A22:B22"/>
    <mergeCell ref="E22:H22"/>
    <mergeCell ref="E23:H23"/>
    <mergeCell ref="A25:H25"/>
    <mergeCell ref="E24:H24"/>
    <mergeCell ref="A23:B23"/>
    <mergeCell ref="A31:B31"/>
    <mergeCell ref="A28:B28"/>
    <mergeCell ref="A29:B29"/>
    <mergeCell ref="A30:B30"/>
    <mergeCell ref="B3:C3"/>
    <mergeCell ref="A24:B24"/>
    <mergeCell ref="A26:B26"/>
    <mergeCell ref="A27:B27"/>
  </mergeCells>
  <printOptions horizontalCentered="1" verticalCentered="1"/>
  <pageMargins left="0.19685039370078741" right="0.19685039370078741" top="0.19685039370078741" bottom="0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9"/>
  <sheetViews>
    <sheetView workbookViewId="0">
      <selection activeCell="B32" sqref="B32"/>
    </sheetView>
  </sheetViews>
  <sheetFormatPr defaultRowHeight="12.75"/>
  <cols>
    <col min="1" max="1" width="10.7109375" style="41" customWidth="1"/>
    <col min="2" max="4" width="7.7109375" style="35" customWidth="1"/>
    <col min="5" max="5" width="1.7109375" style="35" customWidth="1"/>
    <col min="6" max="6" width="10.7109375" style="41" customWidth="1"/>
    <col min="7" max="9" width="7.7109375" style="35" customWidth="1"/>
    <col min="10" max="10" width="1.7109375" style="35" customWidth="1"/>
    <col min="11" max="12" width="7.7109375" style="37" customWidth="1"/>
    <col min="13" max="16384" width="9.140625" style="35"/>
  </cols>
  <sheetData>
    <row r="1" spans="1:12" ht="15.75">
      <c r="A1" s="90" t="s">
        <v>99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>
      <c r="A2" s="40" t="s">
        <v>88</v>
      </c>
      <c r="B2" s="36" t="s">
        <v>86</v>
      </c>
      <c r="C2" s="36" t="s">
        <v>87</v>
      </c>
      <c r="D2" s="36" t="s">
        <v>0</v>
      </c>
    </row>
    <row r="3" spans="1:12">
      <c r="A3" s="41" t="s">
        <v>81</v>
      </c>
      <c r="B3" s="37">
        <f>-DADOS!B10</f>
        <v>-178</v>
      </c>
      <c r="C3" s="37">
        <f>DADOS!C20</f>
        <v>-155</v>
      </c>
      <c r="D3" s="37">
        <f>B3*C3/1000</f>
        <v>27.59</v>
      </c>
    </row>
    <row r="4" spans="1:12">
      <c r="A4" s="41" t="s">
        <v>82</v>
      </c>
      <c r="B4" s="37"/>
      <c r="C4" s="37"/>
      <c r="D4" s="37">
        <f t="shared" ref="D4:D9" si="0">B4*C4/1000</f>
        <v>0</v>
      </c>
    </row>
    <row r="5" spans="1:12">
      <c r="A5" s="42" t="s">
        <v>83</v>
      </c>
      <c r="B5" s="37">
        <f>-(B3+B6)</f>
        <v>538</v>
      </c>
      <c r="C5" s="38">
        <f>D5*1000/B5</f>
        <v>596.44981412639413</v>
      </c>
      <c r="D5" s="37">
        <f>-(D3+D6)</f>
        <v>320.89000000000004</v>
      </c>
    </row>
    <row r="6" spans="1:12">
      <c r="A6" s="41" t="s">
        <v>8</v>
      </c>
      <c r="B6" s="37">
        <f>-DADOS!C5</f>
        <v>-360</v>
      </c>
      <c r="C6" s="37">
        <f>DADOS!C21</f>
        <v>968</v>
      </c>
      <c r="D6" s="37">
        <f t="shared" si="0"/>
        <v>-348.48</v>
      </c>
    </row>
    <row r="7" spans="1:12">
      <c r="A7" s="41" t="s">
        <v>84</v>
      </c>
      <c r="B7" s="37"/>
      <c r="C7" s="37"/>
      <c r="D7" s="37">
        <f t="shared" si="0"/>
        <v>0</v>
      </c>
    </row>
    <row r="8" spans="1:12">
      <c r="A8" s="41" t="s">
        <v>85</v>
      </c>
      <c r="B8" s="37"/>
      <c r="C8" s="37"/>
      <c r="D8" s="37">
        <f t="shared" si="0"/>
        <v>0</v>
      </c>
    </row>
    <row r="9" spans="1:12">
      <c r="A9" s="41" t="s">
        <v>15</v>
      </c>
      <c r="B9" s="37"/>
      <c r="C9" s="37"/>
      <c r="D9" s="37">
        <f t="shared" si="0"/>
        <v>0</v>
      </c>
    </row>
    <row r="11" spans="1:12">
      <c r="A11" s="40" t="s">
        <v>89</v>
      </c>
      <c r="B11" s="36" t="s">
        <v>86</v>
      </c>
      <c r="C11" s="36" t="s">
        <v>87</v>
      </c>
      <c r="D11" s="36" t="s">
        <v>0</v>
      </c>
      <c r="F11" s="40" t="s">
        <v>90</v>
      </c>
      <c r="G11" s="36" t="s">
        <v>86</v>
      </c>
      <c r="H11" s="36" t="s">
        <v>87</v>
      </c>
      <c r="I11" s="36" t="s">
        <v>0</v>
      </c>
      <c r="K11" s="89" t="s">
        <v>15</v>
      </c>
      <c r="L11" s="89"/>
    </row>
    <row r="12" spans="1:12">
      <c r="A12" s="41" t="s">
        <v>81</v>
      </c>
      <c r="B12" s="37">
        <f>-DADOS!B11</f>
        <v>-164</v>
      </c>
      <c r="C12" s="37">
        <f>C3</f>
        <v>-155</v>
      </c>
      <c r="D12" s="37">
        <f>B12*C12/1000</f>
        <v>25.42</v>
      </c>
      <c r="F12" s="41" t="s">
        <v>81</v>
      </c>
      <c r="G12" s="37">
        <f>-DADOS!B12</f>
        <v>-149</v>
      </c>
      <c r="H12" s="37">
        <f>C3</f>
        <v>-155</v>
      </c>
      <c r="I12" s="37">
        <f>G12*H12/1000</f>
        <v>23.094999999999999</v>
      </c>
    </row>
    <row r="13" spans="1:12">
      <c r="A13" s="41" t="s">
        <v>82</v>
      </c>
      <c r="B13" s="37"/>
      <c r="C13" s="37"/>
      <c r="D13" s="37">
        <f t="shared" ref="D13:D14" si="1">B13*C13/1000</f>
        <v>0</v>
      </c>
      <c r="F13" s="41" t="s">
        <v>82</v>
      </c>
      <c r="G13" s="37"/>
      <c r="H13" s="37"/>
      <c r="I13" s="37">
        <f t="shared" ref="I13:I17" si="2">G13*H13/1000</f>
        <v>0</v>
      </c>
    </row>
    <row r="14" spans="1:12">
      <c r="A14" s="43" t="s">
        <v>83</v>
      </c>
      <c r="B14" s="39">
        <f>B5</f>
        <v>538</v>
      </c>
      <c r="C14" s="39">
        <f>C5</f>
        <v>596.44981412639413</v>
      </c>
      <c r="D14" s="37">
        <f t="shared" si="1"/>
        <v>320.89000000000004</v>
      </c>
      <c r="F14" s="43" t="s">
        <v>83</v>
      </c>
      <c r="G14" s="39">
        <f>B5</f>
        <v>538</v>
      </c>
      <c r="H14" s="39">
        <f>C5</f>
        <v>596.44981412639413</v>
      </c>
      <c r="I14" s="37">
        <f t="shared" si="2"/>
        <v>320.89000000000004</v>
      </c>
    </row>
    <row r="15" spans="1:12">
      <c r="A15" s="41" t="s">
        <v>8</v>
      </c>
      <c r="B15" s="37"/>
      <c r="C15" s="37"/>
      <c r="D15" s="37">
        <f t="shared" ref="D15:D17" si="3">B15*C15/1000</f>
        <v>0</v>
      </c>
      <c r="F15" s="41" t="s">
        <v>8</v>
      </c>
      <c r="G15" s="37"/>
      <c r="H15" s="37"/>
      <c r="I15" s="37">
        <f t="shared" si="2"/>
        <v>0</v>
      </c>
    </row>
    <row r="16" spans="1:12">
      <c r="A16" s="41" t="s">
        <v>84</v>
      </c>
      <c r="B16" s="37">
        <f>-DADOS!C6</f>
        <v>-391</v>
      </c>
      <c r="C16" s="37">
        <f>C6</f>
        <v>968</v>
      </c>
      <c r="D16" s="37">
        <f t="shared" si="3"/>
        <v>-378.488</v>
      </c>
      <c r="F16" s="41" t="s">
        <v>84</v>
      </c>
      <c r="G16" s="37">
        <f>-DADOS!C7</f>
        <v>-421</v>
      </c>
      <c r="H16" s="37">
        <f>C6</f>
        <v>968</v>
      </c>
      <c r="I16" s="37">
        <f t="shared" si="2"/>
        <v>-407.52800000000002</v>
      </c>
    </row>
    <row r="17" spans="1:12">
      <c r="A17" s="41" t="s">
        <v>85</v>
      </c>
      <c r="B17" s="37"/>
      <c r="C17" s="37"/>
      <c r="D17" s="37">
        <f t="shared" si="3"/>
        <v>0</v>
      </c>
      <c r="F17" s="41" t="s">
        <v>85</v>
      </c>
      <c r="G17" s="37"/>
      <c r="H17" s="37"/>
      <c r="I17" s="37">
        <f t="shared" si="2"/>
        <v>0</v>
      </c>
      <c r="K17" s="44" t="s">
        <v>94</v>
      </c>
      <c r="L17" s="44" t="s">
        <v>95</v>
      </c>
    </row>
    <row r="18" spans="1:12">
      <c r="A18" s="42" t="s">
        <v>15</v>
      </c>
      <c r="B18" s="37">
        <f>DADOS!G6</f>
        <v>16.2</v>
      </c>
      <c r="C18" s="39">
        <f>D18*1000/B18</f>
        <v>1986.2962962962929</v>
      </c>
      <c r="D18" s="37">
        <f>-SUM(D12:D17)</f>
        <v>32.17799999999994</v>
      </c>
      <c r="F18" s="42" t="s">
        <v>15</v>
      </c>
      <c r="G18" s="37">
        <f>DADOS!G7</f>
        <v>32.700000000000003</v>
      </c>
      <c r="H18" s="39">
        <f>I18*1000/G18</f>
        <v>1943.211009174312</v>
      </c>
      <c r="I18" s="37">
        <f>-SUM(I12:I17)</f>
        <v>63.543000000000006</v>
      </c>
      <c r="K18" s="37">
        <f>(C18+H18)/2</f>
        <v>1964.7536527353025</v>
      </c>
      <c r="L18" s="38">
        <f>ROUND(K18,-1)</f>
        <v>1960</v>
      </c>
    </row>
    <row r="19" spans="1:12">
      <c r="A19" s="41" t="s">
        <v>93</v>
      </c>
      <c r="B19" s="37">
        <f>SUM(B12:B18)</f>
        <v>-0.80000000000000071</v>
      </c>
      <c r="C19" s="37"/>
      <c r="D19" s="37"/>
      <c r="F19" s="41" t="s">
        <v>93</v>
      </c>
      <c r="G19" s="37">
        <f>SUM(G12:G18)</f>
        <v>0.70000000000000284</v>
      </c>
      <c r="H19" s="37"/>
      <c r="I19" s="37"/>
    </row>
    <row r="21" spans="1:12">
      <c r="A21" s="40" t="s">
        <v>91</v>
      </c>
      <c r="B21" s="36" t="s">
        <v>86</v>
      </c>
      <c r="C21" s="36" t="s">
        <v>87</v>
      </c>
      <c r="D21" s="36" t="s">
        <v>0</v>
      </c>
      <c r="F21" s="40" t="s">
        <v>92</v>
      </c>
      <c r="G21" s="36" t="s">
        <v>86</v>
      </c>
      <c r="H21" s="36" t="s">
        <v>87</v>
      </c>
      <c r="I21" s="36" t="s">
        <v>0</v>
      </c>
      <c r="K21" s="89" t="s">
        <v>96</v>
      </c>
      <c r="L21" s="89"/>
    </row>
    <row r="22" spans="1:12">
      <c r="A22" s="41" t="s">
        <v>81</v>
      </c>
      <c r="B22" s="37">
        <f>-DADOS!B13</f>
        <v>-167</v>
      </c>
      <c r="C22" s="37">
        <f>$C$3</f>
        <v>-155</v>
      </c>
      <c r="D22" s="37">
        <f>B22*C22/1000</f>
        <v>25.885000000000002</v>
      </c>
      <c r="F22" s="41" t="s">
        <v>81</v>
      </c>
      <c r="G22" s="37">
        <f>-DADOS!B14</f>
        <v>-154</v>
      </c>
      <c r="H22" s="37">
        <f>$C$3</f>
        <v>-155</v>
      </c>
      <c r="I22" s="37">
        <f>G22*H22/1000</f>
        <v>23.87</v>
      </c>
    </row>
    <row r="23" spans="1:12">
      <c r="A23" s="41" t="s">
        <v>82</v>
      </c>
      <c r="B23" s="37"/>
      <c r="C23" s="37"/>
      <c r="D23" s="37">
        <f t="shared" ref="D23:D28" si="4">B23*C23/1000</f>
        <v>0</v>
      </c>
      <c r="F23" s="41" t="s">
        <v>82</v>
      </c>
      <c r="G23" s="37"/>
      <c r="H23" s="37"/>
      <c r="I23" s="37">
        <f t="shared" ref="I23:I28" si="5">G23*H23/1000</f>
        <v>0</v>
      </c>
    </row>
    <row r="24" spans="1:12">
      <c r="A24" s="43" t="s">
        <v>83</v>
      </c>
      <c r="B24" s="39">
        <f>$B$5</f>
        <v>538</v>
      </c>
      <c r="C24" s="39">
        <f>$C$5</f>
        <v>596.44981412639413</v>
      </c>
      <c r="D24" s="37">
        <f t="shared" si="4"/>
        <v>320.89000000000004</v>
      </c>
      <c r="F24" s="43" t="s">
        <v>83</v>
      </c>
      <c r="G24" s="39">
        <f>$B$5</f>
        <v>538</v>
      </c>
      <c r="H24" s="39">
        <f>$C$5</f>
        <v>596.44981412639413</v>
      </c>
      <c r="I24" s="37">
        <f t="shared" si="5"/>
        <v>320.89000000000004</v>
      </c>
    </row>
    <row r="25" spans="1:12">
      <c r="A25" s="41" t="s">
        <v>8</v>
      </c>
      <c r="B25" s="37"/>
      <c r="C25" s="37"/>
      <c r="D25" s="37">
        <f t="shared" si="4"/>
        <v>0</v>
      </c>
      <c r="F25" s="41" t="s">
        <v>8</v>
      </c>
      <c r="G25" s="37"/>
      <c r="H25" s="37"/>
      <c r="I25" s="37">
        <f t="shared" si="5"/>
        <v>0</v>
      </c>
    </row>
    <row r="26" spans="1:12">
      <c r="A26" s="41" t="s">
        <v>84</v>
      </c>
      <c r="B26" s="37">
        <f>-DADOS!C8</f>
        <v>-450</v>
      </c>
      <c r="C26" s="37">
        <f>$C$6</f>
        <v>968</v>
      </c>
      <c r="D26" s="37">
        <f t="shared" si="4"/>
        <v>-435.6</v>
      </c>
      <c r="F26" s="41" t="s">
        <v>84</v>
      </c>
      <c r="G26" s="37">
        <f>-DADOS!C9</f>
        <v>-535</v>
      </c>
      <c r="H26" s="37">
        <f>$C$6</f>
        <v>968</v>
      </c>
      <c r="I26" s="37">
        <f t="shared" si="5"/>
        <v>-517.88</v>
      </c>
      <c r="K26" s="44" t="s">
        <v>94</v>
      </c>
      <c r="L26" s="44" t="s">
        <v>95</v>
      </c>
    </row>
    <row r="27" spans="1:12">
      <c r="A27" s="41" t="s">
        <v>85</v>
      </c>
      <c r="B27" s="37">
        <f>DADOS!F8</f>
        <v>76.7</v>
      </c>
      <c r="C27" s="39">
        <f>D27*1000/B27</f>
        <v>1158.0834419817468</v>
      </c>
      <c r="D27" s="37">
        <f>-SUM(D22:D26)</f>
        <v>88.824999999999989</v>
      </c>
      <c r="F27" s="41" t="s">
        <v>85</v>
      </c>
      <c r="G27" s="37">
        <f>DADOS!F9</f>
        <v>151.9</v>
      </c>
      <c r="H27" s="39">
        <f>I27*1000/G27</f>
        <v>1139.6971691902563</v>
      </c>
      <c r="I27" s="37">
        <f>-SUM(I22:I26)</f>
        <v>173.11999999999995</v>
      </c>
      <c r="K27" s="37">
        <f>(C27+H27)/2</f>
        <v>1148.8903055860014</v>
      </c>
      <c r="L27" s="38">
        <f>ROUND(K27,-1)</f>
        <v>1150</v>
      </c>
    </row>
    <row r="28" spans="1:12">
      <c r="A28" s="41" t="s">
        <v>15</v>
      </c>
      <c r="B28" s="37"/>
      <c r="C28" s="37"/>
      <c r="D28" s="37">
        <f t="shared" si="4"/>
        <v>0</v>
      </c>
      <c r="F28" s="41" t="s">
        <v>15</v>
      </c>
      <c r="G28" s="37"/>
      <c r="H28" s="37"/>
      <c r="I28" s="37">
        <f t="shared" si="5"/>
        <v>0</v>
      </c>
    </row>
    <row r="29" spans="1:12">
      <c r="A29" s="41" t="s">
        <v>93</v>
      </c>
      <c r="B29" s="37">
        <f>SUM(B22:B28)</f>
        <v>-2.2999999999999972</v>
      </c>
      <c r="C29" s="37"/>
      <c r="D29" s="37"/>
      <c r="F29" s="41" t="s">
        <v>93</v>
      </c>
      <c r="G29" s="37">
        <f>SUM(G22:G28)</f>
        <v>0.90000000000000568</v>
      </c>
      <c r="H29" s="37"/>
      <c r="I29" s="37"/>
    </row>
    <row r="31" spans="1:12">
      <c r="A31" s="40" t="s">
        <v>98</v>
      </c>
      <c r="B31" s="36" t="s">
        <v>86</v>
      </c>
      <c r="C31" s="36" t="s">
        <v>87</v>
      </c>
      <c r="D31" s="36" t="s">
        <v>0</v>
      </c>
      <c r="F31" s="46"/>
      <c r="G31" s="36"/>
      <c r="H31" s="36"/>
      <c r="I31" s="36"/>
      <c r="K31" s="89" t="s">
        <v>7</v>
      </c>
      <c r="L31" s="89"/>
    </row>
    <row r="32" spans="1:12">
      <c r="A32" s="41" t="s">
        <v>81</v>
      </c>
      <c r="B32" s="37">
        <f>-DADOS!B15</f>
        <v>-197</v>
      </c>
      <c r="C32" s="37">
        <f>$C$3</f>
        <v>-155</v>
      </c>
      <c r="D32" s="37">
        <f>B32*C32/1000</f>
        <v>30.535</v>
      </c>
      <c r="G32" s="37"/>
      <c r="H32" s="37"/>
      <c r="I32" s="37"/>
      <c r="K32" s="44" t="s">
        <v>94</v>
      </c>
      <c r="L32" s="44" t="s">
        <v>95</v>
      </c>
    </row>
    <row r="33" spans="1:12">
      <c r="A33" s="41" t="s">
        <v>82</v>
      </c>
      <c r="B33" s="37">
        <f>DADOS!D15</f>
        <v>28.100000000000005</v>
      </c>
      <c r="C33" s="37">
        <f>D33*1000/B33</f>
        <v>205.23131672597646</v>
      </c>
      <c r="D33" s="37">
        <f>-(D32+D34+D36)</f>
        <v>5.7669999999999391</v>
      </c>
      <c r="G33" s="37"/>
      <c r="H33" s="37"/>
      <c r="I33" s="37"/>
      <c r="K33" s="37">
        <f>C33</f>
        <v>205.23131672597646</v>
      </c>
      <c r="L33" s="38">
        <f>ROUND(K33,-1)</f>
        <v>210</v>
      </c>
    </row>
    <row r="34" spans="1:12">
      <c r="A34" s="43" t="s">
        <v>83</v>
      </c>
      <c r="B34" s="39">
        <f>$B$5</f>
        <v>538</v>
      </c>
      <c r="C34" s="39">
        <f>$C$5</f>
        <v>596.44981412639413</v>
      </c>
      <c r="D34" s="37">
        <f t="shared" ref="D34:D38" si="6">B34*C34/1000</f>
        <v>320.89000000000004</v>
      </c>
      <c r="F34" s="43"/>
      <c r="G34" s="39"/>
      <c r="H34" s="39"/>
      <c r="I34" s="37"/>
    </row>
    <row r="35" spans="1:12">
      <c r="A35" s="41" t="s">
        <v>8</v>
      </c>
      <c r="B35" s="37"/>
      <c r="C35" s="37"/>
      <c r="D35" s="37">
        <f t="shared" si="6"/>
        <v>0</v>
      </c>
      <c r="G35" s="37"/>
      <c r="H35" s="37"/>
      <c r="I35" s="37"/>
    </row>
    <row r="36" spans="1:12">
      <c r="A36" s="41" t="s">
        <v>84</v>
      </c>
      <c r="B36" s="37">
        <f>-DADOS!C16</f>
        <v>-369</v>
      </c>
      <c r="C36" s="37">
        <f>$C$6</f>
        <v>968</v>
      </c>
      <c r="D36" s="37">
        <f t="shared" si="6"/>
        <v>-357.19200000000001</v>
      </c>
      <c r="G36" s="37"/>
      <c r="H36" s="37"/>
      <c r="I36" s="37"/>
      <c r="K36" s="44"/>
      <c r="L36" s="44"/>
    </row>
    <row r="37" spans="1:12">
      <c r="A37" s="41" t="s">
        <v>85</v>
      </c>
      <c r="B37" s="37"/>
      <c r="C37" s="37"/>
      <c r="D37" s="37">
        <f t="shared" si="6"/>
        <v>0</v>
      </c>
      <c r="G37" s="37"/>
      <c r="H37" s="37"/>
      <c r="I37" s="37"/>
      <c r="L37" s="45"/>
    </row>
    <row r="38" spans="1:12">
      <c r="A38" s="41" t="s">
        <v>15</v>
      </c>
      <c r="B38" s="37"/>
      <c r="C38" s="37"/>
      <c r="D38" s="37">
        <f t="shared" si="6"/>
        <v>0</v>
      </c>
      <c r="G38" s="37"/>
      <c r="H38" s="37"/>
      <c r="I38" s="37"/>
    </row>
    <row r="39" spans="1:12">
      <c r="A39" s="41" t="s">
        <v>93</v>
      </c>
      <c r="B39" s="37">
        <f>SUM(B32:B38)</f>
        <v>0.10000000000002274</v>
      </c>
      <c r="C39" s="37"/>
      <c r="D39" s="37"/>
      <c r="F39" s="41" t="s">
        <v>93</v>
      </c>
      <c r="G39" s="37">
        <f>SUM(G32:G38)</f>
        <v>0</v>
      </c>
      <c r="H39" s="37"/>
      <c r="I39" s="37"/>
    </row>
    <row r="41" spans="1:12">
      <c r="A41" s="40" t="s">
        <v>97</v>
      </c>
      <c r="B41" s="36" t="s">
        <v>86</v>
      </c>
      <c r="C41" s="36" t="s">
        <v>87</v>
      </c>
      <c r="D41" s="36" t="s">
        <v>0</v>
      </c>
      <c r="F41" s="46"/>
      <c r="G41" s="36"/>
      <c r="H41" s="36"/>
      <c r="I41" s="36"/>
      <c r="K41" s="89" t="s">
        <v>8</v>
      </c>
      <c r="L41" s="89"/>
    </row>
    <row r="42" spans="1:12">
      <c r="A42" s="41" t="s">
        <v>81</v>
      </c>
      <c r="B42" s="37">
        <f>-DADOS!B18</f>
        <v>-181</v>
      </c>
      <c r="C42" s="37">
        <f>$C$3</f>
        <v>-155</v>
      </c>
      <c r="D42" s="37">
        <f>B42*C42/1000</f>
        <v>28.055</v>
      </c>
      <c r="G42" s="37"/>
      <c r="H42" s="37"/>
      <c r="I42" s="37"/>
    </row>
    <row r="43" spans="1:12">
      <c r="A43" s="41" t="s">
        <v>82</v>
      </c>
      <c r="B43" s="37"/>
      <c r="C43" s="37"/>
      <c r="D43" s="37">
        <f t="shared" ref="D43:D48" si="7">B43*C43/1000</f>
        <v>0</v>
      </c>
      <c r="G43" s="37"/>
      <c r="H43" s="37"/>
      <c r="I43" s="37"/>
    </row>
    <row r="44" spans="1:12">
      <c r="A44" s="43" t="s">
        <v>83</v>
      </c>
      <c r="B44" s="39">
        <f>$B$5</f>
        <v>538</v>
      </c>
      <c r="C44" s="39">
        <f>$C$5</f>
        <v>596.44981412639413</v>
      </c>
      <c r="D44" s="37">
        <f t="shared" si="7"/>
        <v>320.89000000000004</v>
      </c>
      <c r="F44" s="43"/>
      <c r="G44" s="39"/>
      <c r="H44" s="39"/>
      <c r="I44" s="37"/>
      <c r="K44" s="44" t="s">
        <v>94</v>
      </c>
      <c r="L44" s="44" t="s">
        <v>95</v>
      </c>
    </row>
    <row r="45" spans="1:12">
      <c r="A45" s="41" t="s">
        <v>8</v>
      </c>
      <c r="B45" s="37">
        <f>DADOS!E17</f>
        <v>81.899999999999991</v>
      </c>
      <c r="C45" s="37">
        <f>D45*1000/B45</f>
        <v>939.86568986568966</v>
      </c>
      <c r="D45" s="37">
        <f>-(D42+D44+D46)</f>
        <v>76.974999999999966</v>
      </c>
      <c r="G45" s="37"/>
      <c r="H45" s="37"/>
      <c r="I45" s="37"/>
      <c r="K45" s="37">
        <f>C45</f>
        <v>939.86568986568966</v>
      </c>
      <c r="L45" s="38">
        <f>ROUND(K45,-1)</f>
        <v>940</v>
      </c>
    </row>
    <row r="46" spans="1:12">
      <c r="A46" s="41" t="s">
        <v>84</v>
      </c>
      <c r="B46" s="37">
        <f>-DADOS!C17</f>
        <v>-440</v>
      </c>
      <c r="C46" s="37">
        <f>$C$6</f>
        <v>968</v>
      </c>
      <c r="D46" s="37">
        <f t="shared" si="7"/>
        <v>-425.92</v>
      </c>
      <c r="G46" s="37"/>
      <c r="H46" s="37"/>
      <c r="I46" s="37"/>
      <c r="K46" s="44"/>
      <c r="L46" s="44"/>
    </row>
    <row r="47" spans="1:12">
      <c r="A47" s="41" t="s">
        <v>85</v>
      </c>
      <c r="B47" s="37"/>
      <c r="C47" s="37"/>
      <c r="D47" s="37">
        <f t="shared" si="7"/>
        <v>0</v>
      </c>
      <c r="G47" s="37"/>
      <c r="H47" s="37"/>
      <c r="I47" s="37"/>
      <c r="L47" s="45"/>
    </row>
    <row r="48" spans="1:12">
      <c r="A48" s="41" t="s">
        <v>15</v>
      </c>
      <c r="B48" s="37"/>
      <c r="C48" s="37"/>
      <c r="D48" s="37">
        <f t="shared" si="7"/>
        <v>0</v>
      </c>
      <c r="G48" s="37"/>
      <c r="H48" s="37"/>
      <c r="I48" s="37"/>
    </row>
    <row r="49" spans="1:9">
      <c r="A49" s="41" t="s">
        <v>93</v>
      </c>
      <c r="B49" s="37">
        <f>SUM(B42:B48)</f>
        <v>-1.1000000000000227</v>
      </c>
      <c r="C49" s="37"/>
      <c r="D49" s="37"/>
      <c r="G49" s="37"/>
      <c r="H49" s="37"/>
      <c r="I49" s="37"/>
    </row>
  </sheetData>
  <sheetProtection sheet="1" objects="1" scenarios="1"/>
  <mergeCells count="5">
    <mergeCell ref="K11:L11"/>
    <mergeCell ref="K21:L21"/>
    <mergeCell ref="K31:L31"/>
    <mergeCell ref="K41:L41"/>
    <mergeCell ref="A1:L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w&amp;B SILMULATOR</vt:lpstr>
      <vt:lpstr>DADOS</vt:lpstr>
      <vt:lpstr>CÁLCULOS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SilvioNovelli</dc:creator>
  <cp:lastModifiedBy>SilvioNovelli</cp:lastModifiedBy>
  <cp:lastPrinted>2011-05-24T13:24:47Z</cp:lastPrinted>
  <dcterms:created xsi:type="dcterms:W3CDTF">2009-02-21T22:10:20Z</dcterms:created>
  <dcterms:modified xsi:type="dcterms:W3CDTF">2011-06-06T21:12:52Z</dcterms:modified>
</cp:coreProperties>
</file>