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5600" windowHeight="11325" tabRatio="602" activeTab="11"/>
  </bookViews>
  <sheets>
    <sheet name="InputPage" sheetId="1" r:id="rId1"/>
    <sheet name="OS1" sheetId="2" r:id="rId2"/>
    <sheet name="OS2" sheetId="3" r:id="rId3"/>
    <sheet name="OS3" sheetId="4" r:id="rId4"/>
    <sheet name="OS4" sheetId="5" r:id="rId5"/>
    <sheet name="OS5" sheetId="6" r:id="rId6"/>
    <sheet name="OS6" sheetId="7" r:id="rId7"/>
    <sheet name="OS7" sheetId="8" r:id="rId8"/>
    <sheet name="OS8" sheetId="9" r:id="rId9"/>
    <sheet name="LookupTables" sheetId="10" r:id="rId10"/>
    <sheet name="HP Chart" sheetId="11" r:id="rId11"/>
    <sheet name="Modifications " sheetId="12" r:id="rId12"/>
  </sheets>
  <externalReferences>
    <externalReference r:id="rId15"/>
  </externalReferences>
  <definedNames>
    <definedName name="TABLE_14" localSheetId="6">'[1]Grand Rapids EMS'!#REF!</definedName>
    <definedName name="TABLE_14" localSheetId="7">'[1]Grand Rapids EMS'!#REF!</definedName>
    <definedName name="TABLE_14" localSheetId="8">'[1]Grand Rapids EMS'!#REF!</definedName>
    <definedName name="TABLE_14">'[1]Grand Rapids EMS'!#REF!</definedName>
    <definedName name="TABLE_2_14" localSheetId="6">'[1]Grand Rapids EMS'!#REF!</definedName>
    <definedName name="TABLE_2_14" localSheetId="7">'[1]Grand Rapids EMS'!#REF!</definedName>
    <definedName name="TABLE_2_14" localSheetId="8">'[1]Grand Rapids EMS'!#REF!</definedName>
    <definedName name="TABLE_2_14">'[1]Grand Rapids EMS'!#REF!</definedName>
    <definedName name="TABLE_3_14" localSheetId="6">'[1]Grand Rapids EMS'!#REF!</definedName>
    <definedName name="TABLE_3_14" localSheetId="7">'[1]Grand Rapids EMS'!#REF!</definedName>
    <definedName name="TABLE_3_14" localSheetId="8">'[1]Grand Rapids EMS'!#REF!</definedName>
    <definedName name="TABLE_3_14">'[1]Grand Rapids EMS'!#REF!</definedName>
  </definedNames>
  <calcPr fullCalcOnLoad="1"/>
</workbook>
</file>

<file path=xl/comments2.xml><?xml version="1.0" encoding="utf-8"?>
<comments xmlns="http://schemas.openxmlformats.org/spreadsheetml/2006/main">
  <authors>
    <author>Andy Augis</author>
    <author> </author>
  </authors>
  <commentLis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3.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4.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5.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6.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7.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8.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comments9.xml><?xml version="1.0" encoding="utf-8"?>
<comments xmlns="http://schemas.openxmlformats.org/spreadsheetml/2006/main">
  <authors>
    <author>Andy Augis</author>
    <author> </author>
  </authors>
  <commentList>
    <comment ref="B10" authorId="0">
      <text>
        <r>
          <rPr>
            <sz val="8"/>
            <rFont val="Tahoma"/>
            <family val="2"/>
          </rPr>
          <t>Horsepower (hp or HP) is the name of several non-metric units of power. In scientific discourse, the term "horsepower" is rarely used because of its various definitions and the already existent SI unit for power, the watt (W). However, use of the term "horsepower" persists as a legacy in many languages and industries, particularly as a unit of measurement of the maximum power output of internal-combustion engines of automobiles; and often of trucks, buses, and ships.</t>
        </r>
      </text>
    </comment>
    <comment ref="B12" authorId="0">
      <text>
        <r>
          <rPr>
            <sz val="8"/>
            <rFont val="Tahoma"/>
            <family val="2"/>
          </rPr>
          <t>Air-fuel ratio (AFR) is the mass ratio of air to fuel present during combustion. When all the fuel is combined with all the free oxygen, typically within a vehicle's combustion chamber, the mixture is chemically balanced and this AFR is called the stoichiometric mixture (often abbreviated to stoich). AFR is an important measure for anti-pollution and performance tuning reasons. Lambda (λ) is an alternative way to represent AFR.</t>
        </r>
      </text>
    </comment>
    <comment ref="B14" authorId="0">
      <text>
        <r>
          <rPr>
            <sz val="8"/>
            <rFont val="Tahoma"/>
            <family val="2"/>
          </rPr>
          <t>BSFC (Brake Specific Fuel Consumption) describes the fuel flow rate required to generate each horsepower. General values of BSFC for turbocharged gasoline engines range from 0.50 to 0.60 and higher.  Lower BSFC means that the engine requires less fuel to generate a given horsepower. Race fuels and aggressive tuning are required to reach the low end of the BSFC range described above.</t>
        </r>
      </text>
    </comment>
    <comment ref="B46" authorId="1">
      <text>
        <r>
          <rPr>
            <sz val="8"/>
            <rFont val="Tahoma"/>
            <family val="2"/>
          </rPr>
          <t>Depending upon flow rate, charge air cooler characteristics, piping size, number/quality of the bends, throttle body restriction, etc., the plumbing pressure drop can be estimated. This can be 1 psi or less for a very well designed system. On certain restrictive OEM setups, especially those that have now higher-than-stock airflow levels, the pressure drop can be 4 psi or greater.
Typically a pressure drop of 2 psi can be used.</t>
        </r>
      </text>
    </comment>
    <comment ref="H46" authorId="1">
      <text>
        <r>
          <rPr>
            <sz val="8"/>
            <rFont val="Tahoma"/>
            <family val="2"/>
          </rPr>
          <t>Inlet Depression in the Pressure Ratio is caused by restrictions in the intake stream (air filter, piping).  Typically it's about a 1 psi drop, so we can take the ambient air pressure (psia) and subtract it by the depression.</t>
        </r>
      </text>
    </comment>
  </commentList>
</comments>
</file>

<file path=xl/sharedStrings.xml><?xml version="1.0" encoding="utf-8"?>
<sst xmlns="http://schemas.openxmlformats.org/spreadsheetml/2006/main" count="655" uniqueCount="122">
  <si>
    <t>A/F = Air/Fuel Ratio</t>
  </si>
  <si>
    <r>
      <rPr>
        <b/>
        <sz val="10"/>
        <color indexed="8"/>
        <rFont val="Calibri"/>
        <family val="2"/>
      </rPr>
      <t>Wa</t>
    </r>
    <r>
      <rPr>
        <sz val="10"/>
        <color indexed="8"/>
        <rFont val="Calibri"/>
        <family val="2"/>
      </rPr>
      <t xml:space="preserve"> = HP × A/F × (BSFC ÷ 60)</t>
    </r>
  </si>
  <si>
    <r>
      <rPr>
        <b/>
        <sz val="10"/>
        <color indexed="8"/>
        <rFont val="Calibri"/>
        <family val="2"/>
      </rPr>
      <t>Wa</t>
    </r>
    <r>
      <rPr>
        <sz val="10"/>
        <color indexed="8"/>
        <rFont val="Calibri"/>
        <family val="2"/>
      </rPr>
      <t xml:space="preserve"> = Mass Air Flow (lb/min)</t>
    </r>
  </si>
  <si>
    <t>HP = Horsepower Target (flywheel)</t>
  </si>
  <si>
    <t>BSFC (Brake Specific Fuel Consumption) = (lb/[HP × hr]).</t>
  </si>
  <si>
    <t>BSFC =</t>
  </si>
  <si>
    <t>A/F   =</t>
  </si>
  <si>
    <t>HP    =</t>
  </si>
  <si>
    <t>» Divide by 60 to convert from hr to min.</t>
  </si>
  <si>
    <t xml:space="preserve">Wa = </t>
  </si>
  <si>
    <t>lb/min</t>
  </si>
  <si>
    <t>Required Manifold Pressure to Meet HP, or Flow Target</t>
  </si>
  <si>
    <r>
      <t>MAP</t>
    </r>
    <r>
      <rPr>
        <b/>
        <sz val="8"/>
        <color indexed="8"/>
        <rFont val="Calibri"/>
        <family val="2"/>
      </rPr>
      <t>req</t>
    </r>
    <r>
      <rPr>
        <sz val="10"/>
        <color indexed="8"/>
        <rFont val="Calibri"/>
        <family val="2"/>
      </rPr>
      <t xml:space="preserve"> = </t>
    </r>
  </si>
  <si>
    <r>
      <t xml:space="preserve">MAPreq = </t>
    </r>
    <r>
      <rPr>
        <sz val="10"/>
        <color indexed="8"/>
        <rFont val="Calibri"/>
        <family val="2"/>
      </rPr>
      <t>Manifold Absolute Pressure (psia) required to meet the horsepower target</t>
    </r>
  </si>
  <si>
    <r>
      <t xml:space="preserve">Wa = Airflow </t>
    </r>
    <r>
      <rPr>
        <sz val="8"/>
        <color indexed="8"/>
        <rFont val="Calibri"/>
        <family val="2"/>
      </rPr>
      <t xml:space="preserve">actual </t>
    </r>
    <r>
      <rPr>
        <sz val="10"/>
        <color indexed="8"/>
        <rFont val="Calibri"/>
        <family val="2"/>
      </rPr>
      <t>(lb/min)</t>
    </r>
  </si>
  <si>
    <t>R = Gas Constant (639.6)</t>
  </si>
  <si>
    <r>
      <t>T</t>
    </r>
    <r>
      <rPr>
        <sz val="8"/>
        <color indexed="8"/>
        <rFont val="Calibri"/>
        <family val="2"/>
      </rPr>
      <t xml:space="preserve">m </t>
    </r>
    <r>
      <rPr>
        <sz val="10"/>
        <color indexed="8"/>
        <rFont val="Calibri"/>
        <family val="2"/>
      </rPr>
      <t>= Intake Manifold Temperature (degrees F)</t>
    </r>
  </si>
  <si>
    <t>N = Engine Speed (RPM)</t>
  </si>
  <si>
    <t>Vd = Engine Displacement (Cubic Inches, convert from litres to CI by multiplying by 61.02)</t>
  </si>
  <si>
    <t>Vd (L) =</t>
  </si>
  <si>
    <t>N        =</t>
  </si>
  <si>
    <t>VE      =</t>
  </si>
  <si>
    <t>Tm     =</t>
  </si>
  <si>
    <t>R        =</t>
  </si>
  <si>
    <t>Wa    =</t>
  </si>
  <si>
    <r>
      <t>MAP</t>
    </r>
    <r>
      <rPr>
        <b/>
        <sz val="10"/>
        <color indexed="8"/>
        <rFont val="Calibri"/>
        <family val="2"/>
      </rPr>
      <t>req</t>
    </r>
    <r>
      <rPr>
        <b/>
        <sz val="16"/>
        <color indexed="8"/>
        <rFont val="Calibri"/>
        <family val="2"/>
      </rPr>
      <t xml:space="preserve"> = </t>
    </r>
  </si>
  <si>
    <t>*The compressor map that has the capability to handle atleast lbs/min is a good starting point.</t>
  </si>
  <si>
    <r>
      <t xml:space="preserve">P2c </t>
    </r>
    <r>
      <rPr>
        <sz val="10"/>
        <color indexed="8"/>
        <rFont val="Calibri"/>
        <family val="2"/>
      </rPr>
      <t>= Compressor Discharge Pressure (psia)</t>
    </r>
  </si>
  <si>
    <t>MAP = Manifold Absolute Pressure (psia)</t>
  </si>
  <si>
    <r>
      <t>P2c</t>
    </r>
    <r>
      <rPr>
        <sz val="10"/>
        <color indexed="8"/>
        <rFont val="Calibri"/>
        <family val="2"/>
      </rPr>
      <t xml:space="preserve"> = MAP + ΔP</t>
    </r>
    <r>
      <rPr>
        <sz val="8"/>
        <color indexed="8"/>
        <rFont val="Calibri"/>
        <family val="2"/>
      </rPr>
      <t>Loss</t>
    </r>
  </si>
  <si>
    <r>
      <t>ΔP</t>
    </r>
    <r>
      <rPr>
        <sz val="8"/>
        <color indexed="8"/>
        <rFont val="Calibri"/>
        <family val="2"/>
      </rPr>
      <t>Loss</t>
    </r>
    <r>
      <rPr>
        <sz val="10"/>
        <color indexed="8"/>
        <rFont val="Calibri"/>
        <family val="2"/>
      </rPr>
      <t xml:space="preserve"> = Pressure Loss between the Compressor and the Manifold (psi)</t>
    </r>
  </si>
  <si>
    <t>MAP      =</t>
  </si>
  <si>
    <r>
      <t>ΔP</t>
    </r>
    <r>
      <rPr>
        <sz val="8"/>
        <color indexed="8"/>
        <rFont val="Calibri"/>
        <family val="2"/>
      </rPr>
      <t xml:space="preserve">Loss </t>
    </r>
    <r>
      <rPr>
        <sz val="10"/>
        <color indexed="8"/>
        <rFont val="Calibri"/>
        <family val="2"/>
      </rPr>
      <t xml:space="preserve">  =</t>
    </r>
  </si>
  <si>
    <t>Pressure Drop From Intercooler System &amp; Turbo Intake System</t>
  </si>
  <si>
    <r>
      <t>P2c</t>
    </r>
    <r>
      <rPr>
        <b/>
        <sz val="16"/>
        <color indexed="8"/>
        <rFont val="Calibri"/>
        <family val="2"/>
      </rPr>
      <t xml:space="preserve"> = </t>
    </r>
  </si>
  <si>
    <r>
      <t>P1c</t>
    </r>
    <r>
      <rPr>
        <sz val="10"/>
        <color indexed="8"/>
        <rFont val="Calibri"/>
        <family val="2"/>
      </rPr>
      <t xml:space="preserve"> = P</t>
    </r>
    <r>
      <rPr>
        <sz val="8"/>
        <color indexed="8"/>
        <rFont val="Calibri"/>
        <family val="2"/>
      </rPr>
      <t>amb</t>
    </r>
    <r>
      <rPr>
        <sz val="10"/>
        <color indexed="8"/>
        <rFont val="Calibri"/>
        <family val="2"/>
      </rPr>
      <t xml:space="preserve"> - ΔP</t>
    </r>
    <r>
      <rPr>
        <sz val="8"/>
        <color indexed="8"/>
        <rFont val="Calibri"/>
        <family val="2"/>
      </rPr>
      <t>Loss</t>
    </r>
  </si>
  <si>
    <r>
      <t xml:space="preserve">P1c </t>
    </r>
    <r>
      <rPr>
        <sz val="10"/>
        <color indexed="8"/>
        <rFont val="Calibri"/>
        <family val="2"/>
      </rPr>
      <t>= Compressor Inlet Pressure (psia)</t>
    </r>
  </si>
  <si>
    <r>
      <t>P</t>
    </r>
    <r>
      <rPr>
        <sz val="8"/>
        <color indexed="8"/>
        <rFont val="Calibri"/>
        <family val="2"/>
      </rPr>
      <t>amb</t>
    </r>
    <r>
      <rPr>
        <sz val="10"/>
        <color indexed="8"/>
        <rFont val="Calibri"/>
        <family val="2"/>
      </rPr>
      <t xml:space="preserve"> = Ambient Air Pressure (psia)</t>
    </r>
  </si>
  <si>
    <r>
      <t>ΔP</t>
    </r>
    <r>
      <rPr>
        <sz val="8"/>
        <color indexed="8"/>
        <rFont val="Calibri"/>
        <family val="2"/>
      </rPr>
      <t>Loss</t>
    </r>
    <r>
      <rPr>
        <sz val="10"/>
        <color indexed="8"/>
        <rFont val="Calibri"/>
        <family val="2"/>
      </rPr>
      <t xml:space="preserve"> = Pressure Loss due to Turbo Intake Air Filter and Piping (psi)</t>
    </r>
  </si>
  <si>
    <r>
      <t>P</t>
    </r>
    <r>
      <rPr>
        <sz val="8"/>
        <color indexed="8"/>
        <rFont val="Calibri"/>
        <family val="2"/>
      </rPr>
      <t xml:space="preserve">amb </t>
    </r>
    <r>
      <rPr>
        <sz val="10"/>
        <color indexed="8"/>
        <rFont val="Calibri"/>
        <family val="2"/>
      </rPr>
      <t xml:space="preserve">     =</t>
    </r>
  </si>
  <si>
    <r>
      <t>ΔP</t>
    </r>
    <r>
      <rPr>
        <sz val="8"/>
        <color indexed="8"/>
        <rFont val="Calibri"/>
        <family val="2"/>
      </rPr>
      <t xml:space="preserve">Loss </t>
    </r>
    <r>
      <rPr>
        <sz val="10"/>
        <color indexed="8"/>
        <rFont val="Calibri"/>
        <family val="2"/>
      </rPr>
      <t xml:space="preserve">   =</t>
    </r>
  </si>
  <si>
    <t>Pressure Ratio</t>
  </si>
  <si>
    <r>
      <t>Π</t>
    </r>
    <r>
      <rPr>
        <b/>
        <sz val="10"/>
        <color indexed="8"/>
        <rFont val="Calibri"/>
        <family val="2"/>
      </rPr>
      <t>c</t>
    </r>
    <r>
      <rPr>
        <sz val="10"/>
        <color indexed="8"/>
        <rFont val="Calibri"/>
        <family val="2"/>
      </rPr>
      <t xml:space="preserve"> = P2c/P1c</t>
    </r>
  </si>
  <si>
    <r>
      <t xml:space="preserve">Πc </t>
    </r>
    <r>
      <rPr>
        <sz val="10"/>
        <color indexed="8"/>
        <rFont val="Calibri"/>
        <family val="2"/>
      </rPr>
      <t>= Pressure Ratio</t>
    </r>
  </si>
  <si>
    <r>
      <t>P2c</t>
    </r>
    <r>
      <rPr>
        <b/>
        <sz val="10"/>
        <color indexed="8"/>
        <rFont val="Calibri"/>
        <family val="2"/>
      </rPr>
      <t xml:space="preserve"> </t>
    </r>
    <r>
      <rPr>
        <sz val="10"/>
        <color indexed="8"/>
        <rFont val="Calibri"/>
        <family val="2"/>
      </rPr>
      <t>= Compressor Discharge Pressure (psia)</t>
    </r>
  </si>
  <si>
    <t>P1c = Compressor Inlet Pressure (psia)</t>
  </si>
  <si>
    <t xml:space="preserve">Πc = </t>
  </si>
  <si>
    <t>P2c  =</t>
  </si>
  <si>
    <t>P1c  =</t>
  </si>
  <si>
    <t>Mass Airflow Equation @ Peak Torque</t>
  </si>
  <si>
    <t>Mass Airflow Equation to Obtain Target HP</t>
  </si>
  <si>
    <r>
      <t>Wa x R x (460 + T</t>
    </r>
    <r>
      <rPr>
        <sz val="8"/>
        <color indexed="8"/>
        <rFont val="Calibri"/>
        <family val="2"/>
      </rPr>
      <t>m</t>
    </r>
    <r>
      <rPr>
        <sz val="10"/>
        <color indexed="8"/>
        <rFont val="Calibri"/>
        <family val="2"/>
      </rPr>
      <t>)</t>
    </r>
  </si>
  <si>
    <t>VE x N/2 x Vd</t>
  </si>
  <si>
    <r>
      <rPr>
        <b/>
        <sz val="10"/>
        <color indexed="8"/>
        <rFont val="Calibri"/>
        <family val="2"/>
      </rPr>
      <t>Wa</t>
    </r>
    <r>
      <rPr>
        <sz val="10"/>
        <color indexed="8"/>
        <rFont val="Calibri"/>
        <family val="2"/>
      </rPr>
      <t xml:space="preserve"> = </t>
    </r>
  </si>
  <si>
    <t>MAP × VE × N/2 x Vd</t>
  </si>
  <si>
    <r>
      <t>R x (460 + T</t>
    </r>
    <r>
      <rPr>
        <sz val="9"/>
        <color indexed="8"/>
        <rFont val="Calibri"/>
        <family val="2"/>
      </rPr>
      <t>m</t>
    </r>
    <r>
      <rPr>
        <sz val="10"/>
        <color indexed="8"/>
        <rFont val="Calibri"/>
        <family val="2"/>
      </rPr>
      <t>)</t>
    </r>
  </si>
  <si>
    <r>
      <rPr>
        <b/>
        <sz val="10"/>
        <color indexed="8"/>
        <rFont val="Calibri"/>
        <family val="2"/>
      </rPr>
      <t>Wa</t>
    </r>
    <r>
      <rPr>
        <sz val="10"/>
        <color indexed="8"/>
        <rFont val="Calibri"/>
        <family val="2"/>
      </rPr>
      <t xml:space="preserve"> = Air Flow </t>
    </r>
    <r>
      <rPr>
        <sz val="8"/>
        <color indexed="8"/>
        <rFont val="Calibri"/>
        <family val="2"/>
      </rPr>
      <t>actual</t>
    </r>
    <r>
      <rPr>
        <sz val="10"/>
        <color indexed="8"/>
        <rFont val="Calibri"/>
        <family val="2"/>
      </rPr>
      <t xml:space="preserve"> (lb/min)</t>
    </r>
  </si>
  <si>
    <t>R = Gas Constant</t>
  </si>
  <si>
    <t>Tm = Intake Manifold Temperature</t>
  </si>
  <si>
    <t>VE = Volumetric Efficiency</t>
  </si>
  <si>
    <t>Vd = Engine Displacement in Litres</t>
  </si>
  <si>
    <t>MAP   =</t>
  </si>
  <si>
    <t>R         =</t>
  </si>
  <si>
    <t>Tm      =</t>
  </si>
  <si>
    <t>VE       =</t>
  </si>
  <si>
    <t>N         =</t>
  </si>
  <si>
    <t>Vd(L)   =</t>
  </si>
  <si>
    <t xml:space="preserve">GPH </t>
  </si>
  <si>
    <t>Boost #</t>
  </si>
  <si>
    <t>Altitude</t>
  </si>
  <si>
    <t>Absolute Pressure</t>
  </si>
  <si>
    <t>Standard Date MP</t>
  </si>
  <si>
    <t>Operation Scenarios</t>
  </si>
  <si>
    <t>BSFC</t>
  </si>
  <si>
    <t>F/A Ratio</t>
  </si>
  <si>
    <t>Engine RPM</t>
  </si>
  <si>
    <t>OS1</t>
  </si>
  <si>
    <t>OS2</t>
  </si>
  <si>
    <t>OS3</t>
  </si>
  <si>
    <t>OS4</t>
  </si>
  <si>
    <t>OS5</t>
  </si>
  <si>
    <t>OS6</t>
  </si>
  <si>
    <t>OS7</t>
  </si>
  <si>
    <t>Pressure Radio</t>
  </si>
  <si>
    <t>Turbo to Intake Manifold (Intercooler)</t>
  </si>
  <si>
    <t>Target HP</t>
  </si>
  <si>
    <t>OAT</t>
  </si>
  <si>
    <r>
      <t>T</t>
    </r>
    <r>
      <rPr>
        <b/>
        <vertAlign val="subscript"/>
        <sz val="11"/>
        <color indexed="8"/>
        <rFont val="Calibri"/>
        <family val="2"/>
      </rPr>
      <t>out</t>
    </r>
    <r>
      <rPr>
        <b/>
        <sz val="11"/>
        <color indexed="8"/>
        <rFont val="Calibri"/>
        <family val="2"/>
      </rPr>
      <t xml:space="preserve"> = T</t>
    </r>
    <r>
      <rPr>
        <b/>
        <vertAlign val="subscript"/>
        <sz val="11"/>
        <color indexed="8"/>
        <rFont val="Calibri"/>
        <family val="2"/>
      </rPr>
      <t>amb</t>
    </r>
    <r>
      <rPr>
        <b/>
        <sz val="11"/>
        <color indexed="8"/>
        <rFont val="Calibri"/>
        <family val="2"/>
      </rPr>
      <t xml:space="preserve"> + (T</t>
    </r>
    <r>
      <rPr>
        <b/>
        <vertAlign val="subscript"/>
        <sz val="11"/>
        <color indexed="8"/>
        <rFont val="Calibri"/>
        <family val="2"/>
      </rPr>
      <t>amb</t>
    </r>
    <r>
      <rPr>
        <b/>
        <sz val="11"/>
        <color indexed="8"/>
        <rFont val="Calibri"/>
        <family val="2"/>
      </rPr>
      <t xml:space="preserve"> * (-1 + PR</t>
    </r>
    <r>
      <rPr>
        <b/>
        <vertAlign val="superscript"/>
        <sz val="11"/>
        <color indexed="8"/>
        <rFont val="Calibri"/>
        <family val="2"/>
      </rPr>
      <t>0.263</t>
    </r>
    <r>
      <rPr>
        <b/>
        <sz val="11"/>
        <color indexed="8"/>
        <rFont val="Calibri"/>
        <family val="2"/>
      </rPr>
      <t>)) / comp efficiency</t>
    </r>
  </si>
  <si>
    <t xml:space="preserve">Boost </t>
  </si>
  <si>
    <t>Intercooler Efficiency</t>
  </si>
  <si>
    <t xml:space="preserve"> Intake Manifold Temp</t>
  </si>
  <si>
    <t>Turbo Outlet Temp</t>
  </si>
  <si>
    <t>Engine Information</t>
  </si>
  <si>
    <t>Intake -Filter -Turbo</t>
  </si>
  <si>
    <t>Corrected Air Flow lb/min</t>
  </si>
  <si>
    <t>Altitude 0,500,1000 ft etc</t>
  </si>
  <si>
    <t>Enter Boost Pounds from Column "M"</t>
  </si>
  <si>
    <t>Enter Air Pressure from Column "C"</t>
  </si>
  <si>
    <t>GPH- Calculated</t>
  </si>
  <si>
    <t>Use Calculator to estimate Intake manifold Temperature . Use to set temperature estimate in Column "I"</t>
  </si>
  <si>
    <t>Air Pressure (do not change)</t>
  </si>
  <si>
    <t>MP</t>
  </si>
  <si>
    <t>Enter in Column "I"</t>
  </si>
  <si>
    <t>Use for Turbo Map Plot</t>
  </si>
  <si>
    <t>Enter First</t>
  </si>
  <si>
    <t>Actual Boost Pounds</t>
  </si>
  <si>
    <t xml:space="preserve">Enter data values with Red Fonts only. All other fields are calculated. </t>
  </si>
  <si>
    <t>validation test---215HP from HP Chart --subtract 2 psi losses - Cells B19 and B20</t>
  </si>
  <si>
    <t>Enter OAT for Altitude- Use a standard laps rate of 1F per 500 ft. Enter in Column "G"</t>
  </si>
  <si>
    <t xml:space="preserve"> Altitude Air Pressure</t>
  </si>
  <si>
    <t>Intercooler Delta</t>
  </si>
  <si>
    <t>Turbo Efficiently</t>
  </si>
  <si>
    <t xml:space="preserve">Pressure Ratio </t>
  </si>
  <si>
    <t>Vd = Engine Displacement (Cubic Inches, convert from liters to CI by multiplying by 61.02)</t>
  </si>
  <si>
    <t>Column "I", Manifold Temperature must be entered last. If you change an Operational Scenario value you must set Manifold Temp back to OAT and use the "Actual Boost Pounds in column "M" to recalculate the new Pressure Ratio</t>
  </si>
  <si>
    <t>OS8</t>
  </si>
  <si>
    <t>Changed MP Required  - Psig to reference Pamb instead of 14.7 in</t>
  </si>
  <si>
    <t>Removed filter to turbo pressure drop from air temperature calculator. It's already included in Boost Pounds from Column M</t>
  </si>
  <si>
    <t>Setup Page</t>
  </si>
  <si>
    <t xml:space="preserve">All OS pages </t>
  </si>
  <si>
    <r>
      <t xml:space="preserve">Intake Manifold Temp. </t>
    </r>
    <r>
      <rPr>
        <sz val="10"/>
        <color indexed="10"/>
        <rFont val="Calibri"/>
        <family val="2"/>
      </rPr>
      <t xml:space="preserve">Set to OAT then use calculator for final Intake manifold Temp. </t>
    </r>
    <r>
      <rPr>
        <b/>
        <sz val="14"/>
        <color indexed="10"/>
        <rFont val="Calibri"/>
        <family val="2"/>
      </rPr>
      <t>Set this last.</t>
    </r>
  </si>
  <si>
    <r>
      <t xml:space="preserve">OAT </t>
    </r>
    <r>
      <rPr>
        <sz val="10"/>
        <color indexed="10"/>
        <rFont val="Calibri"/>
        <family val="2"/>
      </rPr>
      <t>(OS1 set from Initial OAT) Use standard laps rate</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</si>
</sst>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quot;F&quot;"/>
    <numFmt numFmtId="173" formatCode="##&quot;%&quot;"/>
    <numFmt numFmtId="174" formatCode="#####\ &quot;RPM&quot;"/>
    <numFmt numFmtId="175" formatCode="0.0"/>
    <numFmt numFmtId="176" formatCode="##.##\ &quot;psig&quot;"/>
    <numFmt numFmtId="177" formatCode="##.##\ &quot;psia&quot;"/>
    <numFmt numFmtId="178" formatCode="####\ &quot;RPM&quot;"/>
    <numFmt numFmtId="179" formatCode="0.00000000000000"/>
    <numFmt numFmtId="180" formatCode="0.0000000000000"/>
    <numFmt numFmtId="181" formatCode="0.000000000000"/>
    <numFmt numFmtId="182" formatCode="0.000000000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409]dddd\,\ mmmm\ dd\,\ yyyy"/>
    <numFmt numFmtId="193" formatCode="[$-409]h:mm:ss\ AM/PM"/>
    <numFmt numFmtId="194" formatCode="mmm\-yyyy"/>
  </numFmts>
  <fonts count="88">
    <font>
      <sz val="11"/>
      <color theme="1"/>
      <name val="Calibri"/>
      <family val="2"/>
    </font>
    <font>
      <sz val="11"/>
      <color indexed="8"/>
      <name val="Calibri"/>
      <family val="2"/>
    </font>
    <font>
      <sz val="10"/>
      <color indexed="8"/>
      <name val="Calibri"/>
      <family val="2"/>
    </font>
    <font>
      <b/>
      <sz val="12"/>
      <color indexed="8"/>
      <name val="Calibri"/>
      <family val="2"/>
    </font>
    <font>
      <b/>
      <sz val="24"/>
      <color indexed="8"/>
      <name val="Calibri"/>
      <family val="2"/>
    </font>
    <font>
      <b/>
      <sz val="10"/>
      <color indexed="8"/>
      <name val="Calibri"/>
      <family val="2"/>
    </font>
    <font>
      <sz val="8"/>
      <name val="Tahoma"/>
      <family val="2"/>
    </font>
    <font>
      <b/>
      <sz val="16"/>
      <color indexed="8"/>
      <name val="Calibri"/>
      <family val="2"/>
    </font>
    <font>
      <sz val="9"/>
      <color indexed="8"/>
      <name val="Calibri"/>
      <family val="2"/>
    </font>
    <font>
      <sz val="8"/>
      <name val="Calibri"/>
      <family val="2"/>
    </font>
    <font>
      <sz val="8"/>
      <color indexed="8"/>
      <name val="Calibri"/>
      <family val="2"/>
    </font>
    <font>
      <b/>
      <sz val="8"/>
      <color indexed="8"/>
      <name val="Calibri"/>
      <family val="2"/>
    </font>
    <font>
      <b/>
      <sz val="10"/>
      <color indexed="8"/>
      <name val="Arial"/>
      <family val="2"/>
    </font>
    <font>
      <b/>
      <sz val="11"/>
      <color indexed="8"/>
      <name val="Calibri"/>
      <family val="2"/>
    </font>
    <font>
      <b/>
      <vertAlign val="subscript"/>
      <sz val="11"/>
      <color indexed="8"/>
      <name val="Calibri"/>
      <family val="2"/>
    </font>
    <font>
      <b/>
      <vertAlign val="superscript"/>
      <sz val="11"/>
      <color indexed="8"/>
      <name val="Calibri"/>
      <family val="2"/>
    </font>
    <font>
      <sz val="10"/>
      <name val="Arial"/>
      <family val="2"/>
    </font>
    <font>
      <b/>
      <sz val="14"/>
      <color indexed="8"/>
      <name val="Calibri"/>
      <family val="2"/>
    </font>
    <font>
      <sz val="10"/>
      <color indexed="10"/>
      <name val="Calibri"/>
      <family val="2"/>
    </font>
    <font>
      <b/>
      <sz val="14"/>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Calibri"/>
      <family val="2"/>
    </font>
    <font>
      <sz val="20"/>
      <color indexed="8"/>
      <name val="Calibri"/>
      <family val="2"/>
    </font>
    <font>
      <b/>
      <sz val="10"/>
      <color indexed="10"/>
      <name val="Calibri"/>
      <family val="2"/>
    </font>
    <font>
      <b/>
      <sz val="20"/>
      <color indexed="8"/>
      <name val="Calibri"/>
      <family val="2"/>
    </font>
    <font>
      <b/>
      <sz val="11"/>
      <color indexed="17"/>
      <name val="Calibri"/>
      <family val="2"/>
    </font>
    <font>
      <sz val="20"/>
      <color indexed="17"/>
      <name val="Calibri"/>
      <family val="2"/>
    </font>
    <font>
      <b/>
      <sz val="16"/>
      <color indexed="17"/>
      <name val="Calibri"/>
      <family val="2"/>
    </font>
    <font>
      <b/>
      <sz val="20"/>
      <color indexed="10"/>
      <name val="Calibri"/>
      <family val="2"/>
    </font>
    <font>
      <b/>
      <sz val="16"/>
      <color indexed="10"/>
      <name val="Calibri"/>
      <family val="2"/>
    </font>
    <font>
      <b/>
      <sz val="20"/>
      <color indexed="60"/>
      <name val="Calibri"/>
      <family val="2"/>
    </font>
    <font>
      <b/>
      <sz val="14"/>
      <color indexed="49"/>
      <name val="Calibri"/>
      <family val="2"/>
    </font>
    <font>
      <b/>
      <sz val="14"/>
      <color indexed="40"/>
      <name val="Calibri"/>
      <family val="2"/>
    </font>
    <font>
      <b/>
      <sz val="16"/>
      <color indexed="40"/>
      <name val="Calibri"/>
      <family val="2"/>
    </font>
    <font>
      <sz val="20"/>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sz val="10"/>
      <color rgb="FFFF0000"/>
      <name val="Calibri"/>
      <family val="2"/>
    </font>
    <font>
      <sz val="20"/>
      <color theme="1"/>
      <name val="Calibri"/>
      <family val="2"/>
    </font>
    <font>
      <b/>
      <sz val="14"/>
      <color theme="1"/>
      <name val="Calibri"/>
      <family val="2"/>
    </font>
    <font>
      <b/>
      <sz val="10"/>
      <color rgb="FFFF0000"/>
      <name val="Calibri"/>
      <family val="2"/>
    </font>
    <font>
      <b/>
      <sz val="20"/>
      <color theme="1"/>
      <name val="Calibri"/>
      <family val="2"/>
    </font>
    <font>
      <b/>
      <sz val="11"/>
      <color rgb="FF00B050"/>
      <name val="Calibri"/>
      <family val="2"/>
    </font>
    <font>
      <sz val="11"/>
      <color rgb="FF00B050"/>
      <name val="Calibri"/>
      <family val="2"/>
    </font>
    <font>
      <sz val="20"/>
      <color rgb="FF00B050"/>
      <name val="Calibri"/>
      <family val="2"/>
    </font>
    <font>
      <b/>
      <sz val="16"/>
      <color rgb="FF00B050"/>
      <name val="Calibri"/>
      <family val="2"/>
    </font>
    <font>
      <b/>
      <sz val="16"/>
      <color theme="1"/>
      <name val="Calibri"/>
      <family val="2"/>
    </font>
    <font>
      <b/>
      <sz val="20"/>
      <color rgb="FFFF0000"/>
      <name val="Calibri"/>
      <family val="2"/>
    </font>
    <font>
      <b/>
      <sz val="16"/>
      <color rgb="FFFF0000"/>
      <name val="Calibri"/>
      <family val="2"/>
    </font>
    <font>
      <b/>
      <sz val="20"/>
      <color rgb="FFC00000"/>
      <name val="Calibri"/>
      <family val="2"/>
    </font>
    <font>
      <b/>
      <sz val="14"/>
      <color theme="8"/>
      <name val="Calibri"/>
      <family val="2"/>
    </font>
    <font>
      <b/>
      <sz val="14"/>
      <color rgb="FF00B0F0"/>
      <name val="Calibri"/>
      <family val="2"/>
    </font>
    <font>
      <b/>
      <sz val="16"/>
      <color rgb="FF00B0F0"/>
      <name val="Calibri"/>
      <family val="2"/>
    </font>
    <font>
      <sz val="20"/>
      <color rgb="FFC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49"/>
      </left>
      <right style="medium">
        <color indexed="49"/>
      </right>
      <top style="medium">
        <color indexed="49"/>
      </top>
      <bottom style="medium">
        <color indexed="49"/>
      </bottom>
    </border>
    <border>
      <left style="medium">
        <color indexed="15"/>
      </left>
      <right style="medium">
        <color indexed="15"/>
      </right>
      <top style="medium">
        <color indexed="15"/>
      </top>
      <bottom style="medium">
        <color indexed="15"/>
      </bottom>
    </border>
    <border>
      <left/>
      <right/>
      <top style="thin"/>
      <bottom style="thin"/>
    </border>
    <border>
      <left/>
      <right/>
      <top style="thin"/>
      <bottom/>
    </border>
    <border>
      <left style="medium"/>
      <right style="medium"/>
      <top style="medium"/>
      <bottom style="medium"/>
    </border>
    <border>
      <left/>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color indexed="63"/>
      </right>
      <top style="thin"/>
      <bottom style="thin"/>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color indexed="63"/>
      </left>
      <right style="thin"/>
      <top style="thin"/>
      <bottom style="thin"/>
    </border>
    <border>
      <left/>
      <right style="medium">
        <color indexed="15"/>
      </right>
      <top style="medium">
        <color indexed="15"/>
      </top>
      <bottom/>
    </border>
    <border>
      <left/>
      <right style="medium">
        <color indexed="15"/>
      </right>
      <top/>
      <bottom style="medium">
        <color indexed="15"/>
      </bottom>
    </border>
    <border>
      <left/>
      <right style="medium">
        <color indexed="15"/>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3">
    <xf numFmtId="0" fontId="0" fillId="0" borderId="0" xfId="0" applyFont="1" applyAlignment="1">
      <alignment/>
    </xf>
    <xf numFmtId="0" fontId="4"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2" fontId="2" fillId="0" borderId="10" xfId="0" applyNumberFormat="1" applyFont="1" applyBorder="1" applyAlignment="1">
      <alignment horizontal="center" vertical="center"/>
    </xf>
    <xf numFmtId="0" fontId="3" fillId="0" borderId="0" xfId="0" applyFont="1" applyAlignment="1">
      <alignment vertical="center"/>
    </xf>
    <xf numFmtId="1" fontId="2" fillId="0" borderId="1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11" xfId="0" applyNumberFormat="1" applyFont="1" applyBorder="1" applyAlignment="1">
      <alignment horizontal="center" vertical="center"/>
    </xf>
    <xf numFmtId="1" fontId="2" fillId="0" borderId="0" xfId="0" applyNumberFormat="1" applyFont="1" applyBorder="1" applyAlignment="1">
      <alignment horizontal="center" vertical="center"/>
    </xf>
    <xf numFmtId="2" fontId="2" fillId="0" borderId="0" xfId="0" applyNumberFormat="1" applyFont="1" applyBorder="1" applyAlignment="1">
      <alignment horizontal="center" vertical="center"/>
    </xf>
    <xf numFmtId="0" fontId="5" fillId="0" borderId="0" xfId="0" applyFont="1" applyAlignment="1">
      <alignment vertical="center"/>
    </xf>
    <xf numFmtId="172" fontId="2" fillId="0" borderId="10" xfId="0" applyNumberFormat="1" applyFont="1" applyBorder="1" applyAlignment="1">
      <alignment horizontal="center" vertical="center"/>
    </xf>
    <xf numFmtId="173" fontId="2" fillId="0" borderId="10" xfId="0" applyNumberFormat="1" applyFont="1" applyBorder="1" applyAlignment="1">
      <alignment horizontal="center" vertical="center"/>
    </xf>
    <xf numFmtId="175" fontId="2"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3" fillId="0" borderId="12" xfId="0" applyNumberFormat="1" applyFont="1" applyBorder="1" applyAlignment="1">
      <alignment horizontal="center" vertical="center"/>
    </xf>
    <xf numFmtId="0" fontId="1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1" fontId="2" fillId="0" borderId="13" xfId="0" applyNumberFormat="1" applyFont="1" applyBorder="1" applyAlignment="1">
      <alignment horizontal="center" vertical="center"/>
    </xf>
    <xf numFmtId="2" fontId="2" fillId="0" borderId="14" xfId="0" applyNumberFormat="1" applyFont="1" applyBorder="1" applyAlignment="1">
      <alignment horizontal="center" vertical="center"/>
    </xf>
    <xf numFmtId="178" fontId="2" fillId="0" borderId="10" xfId="0" applyNumberFormat="1" applyFont="1" applyBorder="1" applyAlignment="1">
      <alignment horizontal="center" vertical="center"/>
    </xf>
    <xf numFmtId="0" fontId="8" fillId="0" borderId="0" xfId="0" applyFont="1" applyBorder="1" applyAlignment="1">
      <alignment vertical="center" wrapText="1"/>
    </xf>
    <xf numFmtId="0" fontId="69" fillId="0" borderId="15" xfId="0" applyFont="1" applyBorder="1" applyAlignment="1">
      <alignment horizontal="center" vertical="center"/>
    </xf>
    <xf numFmtId="0" fontId="69" fillId="0" borderId="15" xfId="0" applyFont="1" applyBorder="1" applyAlignment="1">
      <alignment vertical="center"/>
    </xf>
    <xf numFmtId="2" fontId="70" fillId="0" borderId="10" xfId="0" applyNumberFormat="1" applyFont="1" applyBorder="1" applyAlignment="1">
      <alignment horizontal="center" vertical="center"/>
    </xf>
    <xf numFmtId="175" fontId="70" fillId="0" borderId="10" xfId="0" applyNumberFormat="1" applyFont="1" applyBorder="1" applyAlignment="1">
      <alignment horizontal="center" vertical="center"/>
    </xf>
    <xf numFmtId="2" fontId="2" fillId="0" borderId="16" xfId="0" applyNumberFormat="1" applyFont="1" applyBorder="1" applyAlignment="1">
      <alignment horizontal="center" vertical="center"/>
    </xf>
    <xf numFmtId="177" fontId="69" fillId="0" borderId="15" xfId="0" applyNumberFormat="1" applyFont="1" applyBorder="1" applyAlignment="1">
      <alignment horizontal="center" vertical="center"/>
    </xf>
    <xf numFmtId="172" fontId="69" fillId="0" borderId="17" xfId="0" applyNumberFormat="1" applyFont="1" applyBorder="1" applyAlignment="1">
      <alignment horizontal="center" vertical="center"/>
    </xf>
    <xf numFmtId="2" fontId="69" fillId="0" borderId="18" xfId="0" applyNumberFormat="1" applyFont="1" applyBorder="1" applyAlignment="1">
      <alignment horizontal="center" vertical="center"/>
    </xf>
    <xf numFmtId="173" fontId="69" fillId="0" borderId="18" xfId="0" applyNumberFormat="1" applyFont="1" applyBorder="1" applyAlignment="1">
      <alignment horizontal="center" vertical="center"/>
    </xf>
    <xf numFmtId="174" fontId="69" fillId="0" borderId="19" xfId="0" applyNumberFormat="1" applyFont="1" applyBorder="1" applyAlignment="1">
      <alignment horizontal="center" vertical="center"/>
    </xf>
    <xf numFmtId="2" fontId="69" fillId="0" borderId="15" xfId="0" applyNumberFormat="1" applyFont="1" applyBorder="1" applyAlignment="1">
      <alignment horizontal="center" vertical="center"/>
    </xf>
    <xf numFmtId="0" fontId="69" fillId="0" borderId="20" xfId="0" applyFont="1" applyBorder="1" applyAlignment="1">
      <alignment vertical="center"/>
    </xf>
    <xf numFmtId="2" fontId="69" fillId="0" borderId="19" xfId="0" applyNumberFormat="1" applyFont="1" applyBorder="1" applyAlignment="1">
      <alignment horizontal="center" vertical="center"/>
    </xf>
    <xf numFmtId="2" fontId="7" fillId="0" borderId="12" xfId="0" applyNumberFormat="1" applyFont="1" applyBorder="1" applyAlignment="1">
      <alignment horizontal="center" vertical="center"/>
    </xf>
    <xf numFmtId="2" fontId="7" fillId="0" borderId="11" xfId="0" applyNumberFormat="1" applyFont="1" applyBorder="1" applyAlignment="1">
      <alignment horizontal="center" vertical="center"/>
    </xf>
    <xf numFmtId="2" fontId="13" fillId="0" borderId="0" xfId="0" applyNumberFormat="1" applyFont="1" applyAlignment="1">
      <alignment horizontal="center" vertical="center"/>
    </xf>
    <xf numFmtId="0" fontId="67" fillId="0" borderId="0" xfId="0" applyFont="1" applyAlignment="1">
      <alignment/>
    </xf>
    <xf numFmtId="0" fontId="67" fillId="0" borderId="0" xfId="0" applyFont="1" applyAlignment="1">
      <alignment horizontal="center"/>
    </xf>
    <xf numFmtId="0" fontId="0" fillId="0" borderId="0" xfId="0" applyAlignment="1">
      <alignment horizontal="center"/>
    </xf>
    <xf numFmtId="0" fontId="67" fillId="0" borderId="10" xfId="0" applyFont="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0" fontId="67" fillId="0" borderId="0" xfId="0" applyFont="1" applyAlignment="1">
      <alignment horizontal="center" wrapText="1"/>
    </xf>
    <xf numFmtId="49" fontId="5" fillId="0" borderId="0" xfId="0" applyNumberFormat="1" applyFont="1" applyAlignment="1">
      <alignment horizontal="center" vertical="center" wrapText="1"/>
    </xf>
    <xf numFmtId="173" fontId="0" fillId="0" borderId="0" xfId="60" applyNumberFormat="1" applyFont="1" applyAlignment="1">
      <alignment/>
    </xf>
    <xf numFmtId="0" fontId="0" fillId="0" borderId="0" xfId="0" applyBorder="1" applyAlignment="1">
      <alignment horizontal="center"/>
    </xf>
    <xf numFmtId="0" fontId="67" fillId="0" borderId="21" xfId="0" applyFont="1" applyBorder="1" applyAlignment="1">
      <alignment horizontal="center"/>
    </xf>
    <xf numFmtId="2" fontId="0" fillId="0" borderId="0" xfId="0" applyNumberFormat="1" applyBorder="1" applyAlignment="1">
      <alignment horizontal="center"/>
    </xf>
    <xf numFmtId="175" fontId="0" fillId="0" borderId="0" xfId="0" applyNumberFormat="1" applyAlignment="1">
      <alignment/>
    </xf>
    <xf numFmtId="0" fontId="71" fillId="0" borderId="0" xfId="0" applyFont="1" applyAlignment="1">
      <alignment/>
    </xf>
    <xf numFmtId="2" fontId="71" fillId="0" borderId="0" xfId="0" applyNumberFormat="1" applyFont="1" applyAlignment="1">
      <alignment/>
    </xf>
    <xf numFmtId="2" fontId="0" fillId="0" borderId="0" xfId="0" applyNumberFormat="1" applyAlignment="1">
      <alignment horizontal="center"/>
    </xf>
    <xf numFmtId="0" fontId="0" fillId="0" borderId="0" xfId="0" applyBorder="1" applyAlignment="1">
      <alignment/>
    </xf>
    <xf numFmtId="0" fontId="67" fillId="0" borderId="0" xfId="0" applyFont="1" applyBorder="1" applyAlignment="1">
      <alignment horizontal="center"/>
    </xf>
    <xf numFmtId="175" fontId="67" fillId="0" borderId="0" xfId="0" applyNumberFormat="1" applyFont="1" applyBorder="1" applyAlignment="1">
      <alignment/>
    </xf>
    <xf numFmtId="175" fontId="0" fillId="0" borderId="0" xfId="0" applyNumberFormat="1" applyBorder="1" applyAlignment="1">
      <alignment/>
    </xf>
    <xf numFmtId="0" fontId="72" fillId="0" borderId="22" xfId="0" applyFont="1" applyBorder="1" applyAlignment="1">
      <alignment horizontal="center" wrapText="1"/>
    </xf>
    <xf numFmtId="0" fontId="72" fillId="0" borderId="23" xfId="0" applyFont="1" applyBorder="1" applyAlignment="1">
      <alignment horizontal="center" wrapText="1"/>
    </xf>
    <xf numFmtId="0" fontId="72" fillId="0" borderId="10" xfId="0" applyFont="1" applyBorder="1" applyAlignment="1">
      <alignment horizontal="center" wrapText="1"/>
    </xf>
    <xf numFmtId="0" fontId="72" fillId="0" borderId="24" xfId="0" applyFont="1" applyBorder="1" applyAlignment="1">
      <alignment horizontal="center" wrapText="1"/>
    </xf>
    <xf numFmtId="0" fontId="72" fillId="0" borderId="0" xfId="0" applyFont="1" applyAlignment="1">
      <alignment horizontal="center" wrapText="1"/>
    </xf>
    <xf numFmtId="0" fontId="72" fillId="33" borderId="22" xfId="0" applyFont="1" applyFill="1" applyBorder="1" applyAlignment="1">
      <alignment horizontal="center" wrapText="1"/>
    </xf>
    <xf numFmtId="1" fontId="73" fillId="0" borderId="10" xfId="0" applyNumberFormat="1" applyFont="1" applyBorder="1" applyAlignment="1">
      <alignment horizontal="center" vertical="center"/>
    </xf>
    <xf numFmtId="0" fontId="72" fillId="33" borderId="25" xfId="0" applyFont="1" applyFill="1" applyBorder="1" applyAlignment="1">
      <alignment horizontal="center" wrapText="1"/>
    </xf>
    <xf numFmtId="0" fontId="71" fillId="33" borderId="26" xfId="0" applyFont="1" applyFill="1" applyBorder="1" applyAlignment="1">
      <alignment horizontal="center"/>
    </xf>
    <xf numFmtId="0" fontId="72" fillId="33" borderId="10" xfId="0" applyFont="1" applyFill="1" applyBorder="1" applyAlignment="1">
      <alignment horizontal="center" wrapText="1"/>
    </xf>
    <xf numFmtId="0" fontId="74" fillId="33" borderId="10" xfId="0" applyFont="1" applyFill="1" applyBorder="1" applyAlignment="1">
      <alignment horizontal="center"/>
    </xf>
    <xf numFmtId="0" fontId="72" fillId="34" borderId="23" xfId="0" applyFont="1" applyFill="1" applyBorder="1" applyAlignment="1">
      <alignment horizontal="center" wrapText="1"/>
    </xf>
    <xf numFmtId="0" fontId="16" fillId="0" borderId="0" xfId="57">
      <alignment/>
      <protection/>
    </xf>
    <xf numFmtId="0" fontId="0" fillId="0" borderId="27" xfId="0" applyBorder="1" applyAlignment="1">
      <alignment/>
    </xf>
    <xf numFmtId="0" fontId="0" fillId="0" borderId="27" xfId="0" applyBorder="1" applyAlignment="1">
      <alignment horizontal="center"/>
    </xf>
    <xf numFmtId="0" fontId="0" fillId="0" borderId="28" xfId="0" applyBorder="1" applyAlignment="1">
      <alignment/>
    </xf>
    <xf numFmtId="0" fontId="67" fillId="0" borderId="29" xfId="0" applyFont="1" applyBorder="1" applyAlignment="1">
      <alignment/>
    </xf>
    <xf numFmtId="0" fontId="0" fillId="0" borderId="30" xfId="0" applyBorder="1" applyAlignment="1">
      <alignment/>
    </xf>
    <xf numFmtId="9" fontId="75" fillId="0" borderId="0" xfId="60" applyFont="1" applyBorder="1" applyAlignment="1">
      <alignment horizontal="center"/>
    </xf>
    <xf numFmtId="0" fontId="67" fillId="0" borderId="0" xfId="0" applyFont="1" applyBorder="1" applyAlignment="1">
      <alignment horizontal="left" vertical="center"/>
    </xf>
    <xf numFmtId="0" fontId="0" fillId="0" borderId="29" xfId="0" applyBorder="1" applyAlignment="1">
      <alignment/>
    </xf>
    <xf numFmtId="0" fontId="76" fillId="0" borderId="0" xfId="0" applyFont="1" applyBorder="1" applyAlignment="1">
      <alignment/>
    </xf>
    <xf numFmtId="0" fontId="71" fillId="0" borderId="31" xfId="0" applyFont="1" applyBorder="1" applyAlignment="1">
      <alignment/>
    </xf>
    <xf numFmtId="0" fontId="0" fillId="0" borderId="32" xfId="0" applyBorder="1" applyAlignment="1">
      <alignment/>
    </xf>
    <xf numFmtId="2" fontId="77" fillId="0" borderId="32" xfId="0" applyNumberFormat="1" applyFont="1" applyBorder="1" applyAlignment="1">
      <alignment/>
    </xf>
    <xf numFmtId="0" fontId="3" fillId="0" borderId="32" xfId="0" applyFont="1" applyBorder="1" applyAlignment="1">
      <alignment horizontal="center" vertical="center"/>
    </xf>
    <xf numFmtId="0" fontId="0" fillId="0" borderId="33" xfId="0" applyBorder="1" applyAlignment="1">
      <alignment/>
    </xf>
    <xf numFmtId="0" fontId="72" fillId="0" borderId="34" xfId="0" applyFont="1" applyBorder="1" applyAlignment="1">
      <alignment vertical="center"/>
    </xf>
    <xf numFmtId="175" fontId="0" fillId="0" borderId="0" xfId="0" applyNumberFormat="1" applyAlignment="1">
      <alignment horizontal="center"/>
    </xf>
    <xf numFmtId="2" fontId="3" fillId="0" borderId="0" xfId="0" applyNumberFormat="1" applyFont="1" applyAlignment="1">
      <alignment horizontal="left" vertical="center"/>
    </xf>
    <xf numFmtId="0" fontId="78" fillId="0" borderId="10" xfId="0" applyFont="1" applyBorder="1" applyAlignment="1">
      <alignment horizontal="center"/>
    </xf>
    <xf numFmtId="0" fontId="79" fillId="0" borderId="0" xfId="0" applyFont="1" applyAlignment="1">
      <alignment/>
    </xf>
    <xf numFmtId="0" fontId="0" fillId="0" borderId="26" xfId="0" applyBorder="1" applyAlignment="1">
      <alignment horizontal="center"/>
    </xf>
    <xf numFmtId="0" fontId="71" fillId="33" borderId="10" xfId="0" applyFont="1" applyFill="1" applyBorder="1" applyAlignment="1">
      <alignment horizontal="center"/>
    </xf>
    <xf numFmtId="0" fontId="72" fillId="35" borderId="0" xfId="0" applyFont="1" applyFill="1" applyAlignment="1">
      <alignment horizontal="center"/>
    </xf>
    <xf numFmtId="0" fontId="67" fillId="35" borderId="0" xfId="0" applyFont="1" applyFill="1" applyAlignment="1">
      <alignment horizontal="center"/>
    </xf>
    <xf numFmtId="0" fontId="0" fillId="35" borderId="0" xfId="0" applyFont="1" applyFill="1" applyAlignment="1">
      <alignment horizontal="center" wrapText="1"/>
    </xf>
    <xf numFmtId="0" fontId="0" fillId="35" borderId="0" xfId="0" applyFont="1" applyFill="1" applyAlignment="1">
      <alignment horizontal="center"/>
    </xf>
    <xf numFmtId="0" fontId="67" fillId="35" borderId="0" xfId="0" applyFont="1" applyFill="1" applyAlignment="1">
      <alignment horizontal="center" wrapText="1"/>
    </xf>
    <xf numFmtId="0" fontId="80" fillId="35" borderId="10" xfId="0" applyFont="1" applyFill="1" applyBorder="1" applyAlignment="1">
      <alignment horizontal="center"/>
    </xf>
    <xf numFmtId="173" fontId="80" fillId="35" borderId="10" xfId="60" applyNumberFormat="1" applyFont="1" applyFill="1" applyBorder="1" applyAlignment="1">
      <alignment horizontal="center"/>
    </xf>
    <xf numFmtId="0" fontId="80" fillId="35" borderId="0" xfId="0" applyFont="1" applyFill="1" applyBorder="1" applyAlignment="1">
      <alignment horizontal="center"/>
    </xf>
    <xf numFmtId="177" fontId="80" fillId="35" borderId="10" xfId="0" applyNumberFormat="1" applyFont="1" applyFill="1" applyBorder="1" applyAlignment="1">
      <alignment horizontal="center"/>
    </xf>
    <xf numFmtId="9" fontId="80" fillId="35" borderId="10" xfId="60" applyNumberFormat="1" applyFont="1" applyFill="1" applyBorder="1" applyAlignment="1">
      <alignment horizontal="center"/>
    </xf>
    <xf numFmtId="9" fontId="80" fillId="35" borderId="10" xfId="60" applyFont="1" applyFill="1" applyBorder="1" applyAlignment="1">
      <alignment horizontal="center"/>
    </xf>
    <xf numFmtId="0" fontId="80" fillId="0" borderId="15" xfId="0" applyFont="1" applyBorder="1" applyAlignment="1">
      <alignment horizontal="center"/>
    </xf>
    <xf numFmtId="0" fontId="81" fillId="0" borderId="10" xfId="0" applyFont="1" applyBorder="1" applyAlignment="1">
      <alignment horizontal="center"/>
    </xf>
    <xf numFmtId="1" fontId="81" fillId="0" borderId="10" xfId="0" applyNumberFormat="1" applyFont="1" applyBorder="1" applyAlignment="1">
      <alignment horizontal="center"/>
    </xf>
    <xf numFmtId="2" fontId="81" fillId="0" borderId="10" xfId="0" applyNumberFormat="1" applyFont="1" applyBorder="1" applyAlignment="1">
      <alignment horizontal="center"/>
    </xf>
    <xf numFmtId="0" fontId="81" fillId="0" borderId="35" xfId="0" applyFont="1" applyBorder="1" applyAlignment="1">
      <alignment horizontal="center"/>
    </xf>
    <xf numFmtId="2" fontId="81" fillId="0" borderId="35" xfId="0" applyNumberFormat="1" applyFont="1" applyBorder="1" applyAlignment="1">
      <alignment horizontal="center"/>
    </xf>
    <xf numFmtId="0" fontId="81" fillId="0" borderId="26" xfId="0" applyFont="1" applyBorder="1" applyAlignment="1">
      <alignment horizontal="center"/>
    </xf>
    <xf numFmtId="0" fontId="81" fillId="0" borderId="36" xfId="0" applyFont="1" applyBorder="1" applyAlignment="1">
      <alignment horizontal="center"/>
    </xf>
    <xf numFmtId="2" fontId="74" fillId="36" borderId="10" xfId="0" applyNumberFormat="1" applyFont="1" applyFill="1" applyBorder="1" applyAlignment="1">
      <alignment horizontal="center"/>
    </xf>
    <xf numFmtId="2" fontId="74" fillId="36" borderId="35" xfId="0" applyNumberFormat="1" applyFont="1" applyFill="1" applyBorder="1" applyAlignment="1">
      <alignment horizontal="center"/>
    </xf>
    <xf numFmtId="2" fontId="74" fillId="0" borderId="0" xfId="0" applyNumberFormat="1" applyFont="1" applyBorder="1" applyAlignment="1">
      <alignment/>
    </xf>
    <xf numFmtId="0" fontId="82" fillId="0" borderId="0" xfId="0" applyFont="1" applyAlignment="1">
      <alignment/>
    </xf>
    <xf numFmtId="0" fontId="79" fillId="0" borderId="21" xfId="0" applyFont="1" applyBorder="1" applyAlignment="1">
      <alignment horizontal="center"/>
    </xf>
    <xf numFmtId="0" fontId="79" fillId="0" borderId="37" xfId="0" applyFont="1" applyBorder="1" applyAlignment="1">
      <alignment horizontal="center"/>
    </xf>
    <xf numFmtId="2" fontId="79" fillId="33" borderId="10" xfId="0" applyNumberFormat="1" applyFont="1" applyFill="1" applyBorder="1" applyAlignment="1">
      <alignment horizontal="center"/>
    </xf>
    <xf numFmtId="175" fontId="79" fillId="33" borderId="10" xfId="0" applyNumberFormat="1" applyFont="1" applyFill="1" applyBorder="1" applyAlignment="1">
      <alignment horizontal="center"/>
    </xf>
    <xf numFmtId="2" fontId="79" fillId="33" borderId="26" xfId="0" applyNumberFormat="1" applyFont="1" applyFill="1" applyBorder="1" applyAlignment="1">
      <alignment horizontal="center"/>
    </xf>
    <xf numFmtId="2" fontId="79" fillId="33" borderId="36" xfId="0" applyNumberFormat="1" applyFont="1" applyFill="1" applyBorder="1" applyAlignment="1">
      <alignment horizontal="center"/>
    </xf>
    <xf numFmtId="0" fontId="83" fillId="0" borderId="0" xfId="0" applyFont="1" applyBorder="1" applyAlignment="1">
      <alignment/>
    </xf>
    <xf numFmtId="0" fontId="84" fillId="0" borderId="32" xfId="0" applyFont="1" applyBorder="1" applyAlignment="1">
      <alignment horizontal="left" vertical="center"/>
    </xf>
    <xf numFmtId="0" fontId="17" fillId="0" borderId="32" xfId="0" applyFont="1" applyBorder="1" applyAlignment="1">
      <alignment horizontal="left" vertical="center"/>
    </xf>
    <xf numFmtId="0" fontId="85" fillId="36" borderId="0" xfId="0" applyFont="1" applyFill="1" applyBorder="1" applyAlignment="1">
      <alignment/>
    </xf>
    <xf numFmtId="175" fontId="78" fillId="0" borderId="0" xfId="0" applyNumberFormat="1" applyFont="1" applyBorder="1" applyAlignment="1">
      <alignment/>
    </xf>
    <xf numFmtId="0" fontId="0" fillId="36" borderId="0" xfId="0" applyFill="1" applyBorder="1" applyAlignment="1">
      <alignment horizontal="center"/>
    </xf>
    <xf numFmtId="14" fontId="0" fillId="0" borderId="0" xfId="0" applyNumberFormat="1" applyAlignment="1">
      <alignment/>
    </xf>
    <xf numFmtId="0" fontId="79" fillId="36" borderId="26" xfId="0" applyFont="1" applyFill="1" applyBorder="1" applyAlignment="1">
      <alignment horizontal="center"/>
    </xf>
    <xf numFmtId="0" fontId="79" fillId="36" borderId="38" xfId="0" applyFont="1" applyFill="1" applyBorder="1" applyAlignment="1">
      <alignment horizontal="center"/>
    </xf>
    <xf numFmtId="0" fontId="82" fillId="35" borderId="0" xfId="0" applyFont="1" applyFill="1" applyAlignment="1">
      <alignment horizontal="center"/>
    </xf>
    <xf numFmtId="0" fontId="86" fillId="35" borderId="0" xfId="0" applyFont="1" applyFill="1" applyAlignment="1">
      <alignment horizontal="center"/>
    </xf>
    <xf numFmtId="0" fontId="3" fillId="35" borderId="0" xfId="0" applyFont="1" applyFill="1" applyAlignment="1">
      <alignment horizontal="center" vertical="center" wrapText="1"/>
    </xf>
    <xf numFmtId="0" fontId="0" fillId="0" borderId="0" xfId="0" applyAlignment="1">
      <alignment horizontal="center"/>
    </xf>
    <xf numFmtId="0" fontId="86" fillId="0" borderId="29" xfId="0" applyFont="1" applyBorder="1" applyAlignment="1">
      <alignment horizontal="center" vertical="top" wrapText="1"/>
    </xf>
    <xf numFmtId="0" fontId="86" fillId="0" borderId="0" xfId="0" applyFont="1" applyAlignment="1">
      <alignment vertical="top" wrapText="1"/>
    </xf>
    <xf numFmtId="0" fontId="86" fillId="0" borderId="29" xfId="0" applyFont="1" applyBorder="1" applyAlignment="1">
      <alignment vertical="top" wrapText="1"/>
    </xf>
    <xf numFmtId="0" fontId="5" fillId="0" borderId="0" xfId="0" applyFont="1" applyAlignment="1">
      <alignment horizontal="left" vertical="center"/>
    </xf>
    <xf numFmtId="0" fontId="8" fillId="0" borderId="0" xfId="0" applyFont="1" applyBorder="1" applyAlignment="1">
      <alignment horizontal="left" vertical="center" wrapText="1"/>
    </xf>
    <xf numFmtId="0" fontId="3" fillId="0" borderId="0" xfId="0" applyFont="1" applyAlignment="1">
      <alignment horizontal="left" vertical="center"/>
    </xf>
    <xf numFmtId="177" fontId="3" fillId="0" borderId="39" xfId="0" applyNumberFormat="1" applyFont="1" applyBorder="1" applyAlignment="1">
      <alignment horizontal="center" vertical="center"/>
    </xf>
    <xf numFmtId="177" fontId="3" fillId="0" borderId="40"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3" fillId="0" borderId="40" xfId="0" applyNumberFormat="1" applyFont="1" applyBorder="1" applyAlignment="1">
      <alignment horizontal="center" vertical="center"/>
    </xf>
    <xf numFmtId="0" fontId="7"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7" fillId="0" borderId="0" xfId="0" applyFont="1" applyBorder="1" applyAlignment="1">
      <alignment horizontal="right" vertical="center"/>
    </xf>
    <xf numFmtId="0" fontId="7" fillId="0" borderId="41" xfId="0" applyFont="1" applyBorder="1" applyAlignment="1">
      <alignment horizontal="right" vertical="center"/>
    </xf>
    <xf numFmtId="0" fontId="2" fillId="0" borderId="32"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15</xdr:col>
      <xdr:colOff>457200</xdr:colOff>
      <xdr:row>44</xdr:row>
      <xdr:rowOff>0</xdr:rowOff>
    </xdr:to>
    <xdr:pic>
      <xdr:nvPicPr>
        <xdr:cNvPr id="1" name="Picture 1"/>
        <xdr:cNvPicPr preferRelativeResize="1">
          <a:picLocks noChangeAspect="1"/>
        </xdr:cNvPicPr>
      </xdr:nvPicPr>
      <xdr:blipFill>
        <a:blip r:embed="rId1"/>
        <a:stretch>
          <a:fillRect/>
        </a:stretch>
      </xdr:blipFill>
      <xdr:spPr>
        <a:xfrm>
          <a:off x="104775" y="0"/>
          <a:ext cx="9496425" cy="83820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hughes\RV10%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il cooler notes"/>
      <sheetName val="1.8 ratio RPM Chart"/>
      <sheetName val="2.0 ratio RPM Chart "/>
      <sheetName val="MP90 rpm chart"/>
      <sheetName val="MP90 rpm chart OEM Pullley 1.66"/>
      <sheetName val="Pulley System"/>
      <sheetName val="Service List"/>
      <sheetName val="Punch List"/>
      <sheetName val="Drawing Tools"/>
      <sheetName val="Electrical"/>
      <sheetName val="pANEL"/>
      <sheetName val="EIS"/>
      <sheetName val="Engine FWF"/>
      <sheetName val="HP Chart"/>
      <sheetName val="RPM Breakdown"/>
      <sheetName val="FWF Parts"/>
      <sheetName val="Other Builders"/>
      <sheetName val="Engine Mods"/>
      <sheetName val="Renesis Build up"/>
      <sheetName val="Grand Rapids EMS"/>
      <sheetName val="cash to finish"/>
      <sheetName val="Intake System"/>
      <sheetName val="RadWedge Data Old "/>
      <sheetName val="RadWedge Data"/>
      <sheetName val="Coolant System"/>
      <sheetName val="Oil System"/>
      <sheetName val="Renesis CAS Mod"/>
      <sheetName val="Exhaust System"/>
      <sheetName val="Charging System"/>
      <sheetName val="Fuel System RV10"/>
      <sheetName val="Steves Serial Interf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W48"/>
  <sheetViews>
    <sheetView zoomScale="80" zoomScaleNormal="80" zoomScalePageLayoutView="0" workbookViewId="0" topLeftCell="A1">
      <selection activeCell="G10" sqref="G10"/>
    </sheetView>
  </sheetViews>
  <sheetFormatPr defaultColWidth="9.140625" defaultRowHeight="15"/>
  <cols>
    <col min="1" max="1" width="25.7109375" style="42" customWidth="1"/>
    <col min="2" max="2" width="22.28125" style="42" customWidth="1"/>
    <col min="3" max="3" width="20.421875" style="42" customWidth="1"/>
    <col min="4" max="5" width="18.140625" style="0" customWidth="1"/>
    <col min="6" max="6" width="18.28125" style="0" customWidth="1"/>
    <col min="7" max="7" width="15.7109375" style="0" customWidth="1"/>
    <col min="8" max="8" width="17.28125" style="43" customWidth="1"/>
    <col min="9" max="9" width="17.421875" style="0" customWidth="1"/>
    <col min="10" max="10" width="18.421875" style="43" customWidth="1"/>
    <col min="11" max="11" width="27.00390625" style="0" customWidth="1"/>
    <col min="12" max="12" width="20.140625" style="43" customWidth="1"/>
    <col min="13" max="13" width="15.57421875" style="43" customWidth="1"/>
    <col min="14" max="14" width="12.28125" style="0" customWidth="1"/>
    <col min="15" max="15" width="47.421875" style="0" customWidth="1"/>
    <col min="18" max="18" width="8.00390625" style="0" customWidth="1"/>
    <col min="19" max="19" width="12.8515625" style="0" customWidth="1"/>
  </cols>
  <sheetData>
    <row r="1" spans="1:14" s="65" customFormat="1" ht="97.5" customHeight="1">
      <c r="A1" s="61" t="s">
        <v>72</v>
      </c>
      <c r="B1" s="62" t="s">
        <v>95</v>
      </c>
      <c r="C1" s="62" t="s">
        <v>100</v>
      </c>
      <c r="D1" s="62" t="s">
        <v>75</v>
      </c>
      <c r="E1" s="62" t="s">
        <v>85</v>
      </c>
      <c r="F1" s="62" t="s">
        <v>73</v>
      </c>
      <c r="G1" s="62" t="s">
        <v>74</v>
      </c>
      <c r="H1" s="63" t="s">
        <v>121</v>
      </c>
      <c r="I1" s="64" t="s">
        <v>120</v>
      </c>
      <c r="J1" s="66" t="s">
        <v>98</v>
      </c>
      <c r="K1" s="72" t="s">
        <v>94</v>
      </c>
      <c r="L1" s="72" t="s">
        <v>83</v>
      </c>
      <c r="M1" s="68" t="s">
        <v>105</v>
      </c>
      <c r="N1" s="70" t="s">
        <v>101</v>
      </c>
    </row>
    <row r="2" spans="1:22" ht="35.25" customHeight="1">
      <c r="A2" s="51"/>
      <c r="B2" s="44"/>
      <c r="C2" s="44"/>
      <c r="D2" s="45"/>
      <c r="E2" s="45"/>
      <c r="F2" s="45"/>
      <c r="G2" s="45"/>
      <c r="H2" s="45"/>
      <c r="I2" s="93"/>
      <c r="J2" s="94"/>
      <c r="K2" s="131" t="s">
        <v>103</v>
      </c>
      <c r="L2" s="132"/>
      <c r="M2" s="69"/>
      <c r="N2" s="71"/>
      <c r="V2" s="42"/>
    </row>
    <row r="3" spans="1:23" ht="26.25">
      <c r="A3" s="118" t="s">
        <v>76</v>
      </c>
      <c r="B3" s="107">
        <v>0</v>
      </c>
      <c r="C3" s="91">
        <f>VLOOKUP(B3,LookupTables!A2:B38,2,FALSE)</f>
        <v>14.75</v>
      </c>
      <c r="D3" s="107">
        <v>7200</v>
      </c>
      <c r="E3" s="108">
        <v>215</v>
      </c>
      <c r="F3" s="109">
        <v>0.55</v>
      </c>
      <c r="G3" s="107">
        <v>12</v>
      </c>
      <c r="H3" s="107">
        <v>69</v>
      </c>
      <c r="I3" s="112">
        <v>69</v>
      </c>
      <c r="J3" s="121">
        <f>OS1!M6</f>
        <v>19.708333333333336</v>
      </c>
      <c r="K3" s="114">
        <f>OS1!F12</f>
        <v>23.65</v>
      </c>
      <c r="L3" s="114">
        <f>OS1!F69</f>
        <v>1.140187853984066</v>
      </c>
      <c r="M3" s="122">
        <f>OS1!C71</f>
        <v>1.9976769192729407</v>
      </c>
      <c r="N3" s="120">
        <f>(C3+M3)*2-B21</f>
        <v>31.99535383854588</v>
      </c>
      <c r="O3" s="92" t="s">
        <v>107</v>
      </c>
      <c r="W3" s="41"/>
    </row>
    <row r="4" spans="1:14" ht="26.25">
      <c r="A4" s="118" t="s">
        <v>77</v>
      </c>
      <c r="B4" s="107">
        <v>0</v>
      </c>
      <c r="C4" s="91">
        <f>VLOOKUP(B4,LookupTables!A2:B38,2,FALSE)</f>
        <v>14.75</v>
      </c>
      <c r="D4" s="107">
        <v>7200</v>
      </c>
      <c r="E4" s="108">
        <v>250</v>
      </c>
      <c r="F4" s="109">
        <v>0.55</v>
      </c>
      <c r="G4" s="107">
        <v>12</v>
      </c>
      <c r="H4" s="107">
        <v>100</v>
      </c>
      <c r="I4" s="112">
        <v>122.31</v>
      </c>
      <c r="J4" s="121">
        <f>OS2!M6</f>
        <v>22.916666666666668</v>
      </c>
      <c r="K4" s="114">
        <f>OS2!F12</f>
        <v>27.5</v>
      </c>
      <c r="L4" s="114">
        <f>OS2!F69</f>
        <v>1.429936740740337</v>
      </c>
      <c r="M4" s="122">
        <f>OS2!C71</f>
        <v>6.126598555549801</v>
      </c>
      <c r="N4" s="120">
        <f>(C4+M4)*2-B21</f>
        <v>40.2531971110996</v>
      </c>
    </row>
    <row r="5" spans="1:14" ht="26.25">
      <c r="A5" s="118" t="s">
        <v>78</v>
      </c>
      <c r="B5" s="107">
        <v>8000</v>
      </c>
      <c r="C5" s="91">
        <f>VLOOKUP(B5,LookupTables!A2:B38,2,FALSE)</f>
        <v>10.91</v>
      </c>
      <c r="D5" s="107">
        <v>6800</v>
      </c>
      <c r="E5" s="108">
        <v>180</v>
      </c>
      <c r="F5" s="109">
        <v>0.55</v>
      </c>
      <c r="G5" s="107">
        <v>12.5</v>
      </c>
      <c r="H5" s="107">
        <v>83</v>
      </c>
      <c r="I5" s="112">
        <v>109.43</v>
      </c>
      <c r="J5" s="121">
        <f>OS3!M6</f>
        <v>16.500000000000004</v>
      </c>
      <c r="K5" s="114">
        <f>OS3!F12</f>
        <v>20.625</v>
      </c>
      <c r="L5" s="114">
        <f>OS3!F69</f>
        <v>1.5522261160208646</v>
      </c>
      <c r="M5" s="122">
        <f>OS3!C71</f>
        <v>5.7486738677772</v>
      </c>
      <c r="N5" s="120">
        <f>(C5+M5)*2-B21</f>
        <v>31.8173477355544</v>
      </c>
    </row>
    <row r="6" spans="1:14" ht="26.25">
      <c r="A6" s="118" t="s">
        <v>79</v>
      </c>
      <c r="B6" s="107">
        <v>8000</v>
      </c>
      <c r="C6" s="91">
        <f>VLOOKUP(B6,LookupTables!A2:B38,2,FALSE)</f>
        <v>10.91</v>
      </c>
      <c r="D6" s="107">
        <v>5300</v>
      </c>
      <c r="E6" s="107">
        <v>150</v>
      </c>
      <c r="F6" s="109">
        <v>0.5</v>
      </c>
      <c r="G6" s="107">
        <v>14.7</v>
      </c>
      <c r="H6" s="107">
        <v>83</v>
      </c>
      <c r="I6" s="112">
        <v>118.15</v>
      </c>
      <c r="J6" s="121">
        <f>OS4!M6</f>
        <v>12.5</v>
      </c>
      <c r="K6" s="114">
        <f>OS4!F12</f>
        <v>18.375</v>
      </c>
      <c r="L6" s="114">
        <f>OS4!F69</f>
        <v>1.7783124131662098</v>
      </c>
      <c r="M6" s="122">
        <f>OS4!C71</f>
        <v>8.102232221060245</v>
      </c>
      <c r="N6" s="120">
        <f>(C6+M6)*2-B21</f>
        <v>36.52446444212049</v>
      </c>
    </row>
    <row r="7" spans="1:14" ht="26.25">
      <c r="A7" s="118" t="s">
        <v>80</v>
      </c>
      <c r="B7" s="107">
        <v>8000</v>
      </c>
      <c r="C7" s="91">
        <f>VLOOKUP(B7,LookupTables!A2:B38,2,FALSE)</f>
        <v>10.91</v>
      </c>
      <c r="D7" s="107">
        <v>4800</v>
      </c>
      <c r="E7" s="107">
        <v>130</v>
      </c>
      <c r="F7" s="109">
        <v>0.47</v>
      </c>
      <c r="G7" s="107">
        <v>15.5</v>
      </c>
      <c r="H7" s="107">
        <v>83</v>
      </c>
      <c r="I7" s="112">
        <v>114.63</v>
      </c>
      <c r="J7" s="121">
        <f>OS5!M6</f>
        <v>10.183333333333332</v>
      </c>
      <c r="K7" s="114">
        <f>OS5!F12</f>
        <v>15.784166666666666</v>
      </c>
      <c r="L7" s="114">
        <f>OS5!F69</f>
        <v>1.684682951457647</v>
      </c>
      <c r="M7" s="122">
        <f>OS5!C71</f>
        <v>7.127549524674105</v>
      </c>
      <c r="N7" s="120">
        <f>(C7+M7)*2-B21</f>
        <v>34.57509904934821</v>
      </c>
    </row>
    <row r="8" spans="1:14" ht="26.25">
      <c r="A8" s="118" t="s">
        <v>81</v>
      </c>
      <c r="B8" s="107">
        <v>12000</v>
      </c>
      <c r="C8" s="91">
        <f>VLOOKUP(B8,LookupTables!A2:B38,2,FALSE)</f>
        <v>9.34</v>
      </c>
      <c r="D8" s="107">
        <v>4800</v>
      </c>
      <c r="E8" s="107">
        <v>110</v>
      </c>
      <c r="F8" s="109">
        <v>0.47</v>
      </c>
      <c r="G8" s="107">
        <v>15.5</v>
      </c>
      <c r="H8" s="107">
        <v>76</v>
      </c>
      <c r="I8" s="112">
        <v>107.08</v>
      </c>
      <c r="J8" s="121">
        <f>OS6!M6</f>
        <v>8.616666666666665</v>
      </c>
      <c r="K8" s="114">
        <f>OS6!F12</f>
        <v>13.355833333333333</v>
      </c>
      <c r="L8" s="114">
        <f>OS6!F69</f>
        <v>1.6846081908487154</v>
      </c>
      <c r="M8" s="122">
        <f>OS6!C71</f>
        <v>6.0519364071026445</v>
      </c>
      <c r="N8" s="120">
        <f>(C8+M8)*2-B21</f>
        <v>29.28387281420529</v>
      </c>
    </row>
    <row r="9" spans="1:14" ht="26.25">
      <c r="A9" s="118" t="s">
        <v>82</v>
      </c>
      <c r="B9" s="107">
        <v>18000</v>
      </c>
      <c r="C9" s="91">
        <f>VLOOKUP(B9,LookupTables!A2:B38,2,FALSE)</f>
        <v>7.34</v>
      </c>
      <c r="D9" s="107">
        <v>5400</v>
      </c>
      <c r="E9" s="107">
        <v>100</v>
      </c>
      <c r="F9" s="109">
        <v>0.5</v>
      </c>
      <c r="G9" s="107">
        <v>15.5</v>
      </c>
      <c r="H9" s="107">
        <v>64</v>
      </c>
      <c r="I9" s="112">
        <v>101</v>
      </c>
      <c r="J9" s="121">
        <f>OS7!M6</f>
        <v>8.333333333333334</v>
      </c>
      <c r="K9" s="114">
        <f>OS7!F12</f>
        <v>12.916666666666666</v>
      </c>
      <c r="L9" s="114">
        <f>OS7!F69</f>
        <v>1.8843692038083897</v>
      </c>
      <c r="M9" s="122">
        <f>OS7!C71</f>
        <v>6.049085354049385</v>
      </c>
      <c r="N9" s="120">
        <f>(C9+M9)*2-B21</f>
        <v>25.27817070809877</v>
      </c>
    </row>
    <row r="10" spans="1:14" ht="27" thickBot="1">
      <c r="A10" s="119" t="s">
        <v>115</v>
      </c>
      <c r="B10" s="107">
        <v>18000</v>
      </c>
      <c r="C10" s="91">
        <f>VLOOKUP(B10,LookupTables!A2:B38,2,FALSE)</f>
        <v>7.34</v>
      </c>
      <c r="D10" s="110">
        <v>4800</v>
      </c>
      <c r="E10" s="110">
        <v>80</v>
      </c>
      <c r="F10" s="111">
        <v>0.47</v>
      </c>
      <c r="G10" s="110">
        <v>17</v>
      </c>
      <c r="H10" s="107">
        <v>64</v>
      </c>
      <c r="I10" s="113">
        <v>90.65</v>
      </c>
      <c r="J10" s="121">
        <f>OS8!M6</f>
        <v>6.266666666666666</v>
      </c>
      <c r="K10" s="115">
        <f>OS8!F12</f>
        <v>10.653333333333332</v>
      </c>
      <c r="L10" s="115">
        <f>OS8!F69</f>
        <v>1.7357657712596737</v>
      </c>
      <c r="M10" s="123">
        <f>OS8!C71</f>
        <v>5.032637875416167</v>
      </c>
      <c r="N10" s="120">
        <f>(C10+M10)*2-B21</f>
        <v>23.245275750832334</v>
      </c>
    </row>
    <row r="12" ht="26.25" customHeight="1"/>
    <row r="13" spans="1:7" ht="26.25">
      <c r="A13" s="133" t="s">
        <v>104</v>
      </c>
      <c r="B13" s="134"/>
      <c r="E13" s="117" t="s">
        <v>106</v>
      </c>
      <c r="F13" s="117"/>
      <c r="G13" s="117"/>
    </row>
    <row r="14" spans="1:12" ht="19.5" thickBot="1">
      <c r="A14" s="95" t="s">
        <v>92</v>
      </c>
      <c r="B14" s="96"/>
      <c r="L14" s="56"/>
    </row>
    <row r="15" spans="1:15" ht="63" thickBot="1">
      <c r="A15" s="97" t="s">
        <v>113</v>
      </c>
      <c r="B15" s="100">
        <v>2.6</v>
      </c>
      <c r="D15" s="88" t="s">
        <v>99</v>
      </c>
      <c r="E15" s="74"/>
      <c r="F15" s="74"/>
      <c r="G15" s="74"/>
      <c r="H15" s="75"/>
      <c r="I15" s="74"/>
      <c r="J15" s="75"/>
      <c r="K15" s="76"/>
      <c r="L15" s="137" t="s">
        <v>114</v>
      </c>
      <c r="M15" s="138"/>
      <c r="N15" s="138"/>
      <c r="O15" s="138"/>
    </row>
    <row r="16" spans="1:15" ht="27" thickBot="1">
      <c r="A16" s="98" t="s">
        <v>59</v>
      </c>
      <c r="B16" s="101">
        <v>95</v>
      </c>
      <c r="D16" s="77" t="s">
        <v>86</v>
      </c>
      <c r="E16" s="57"/>
      <c r="F16" s="106">
        <v>64</v>
      </c>
      <c r="G16" s="124" t="s">
        <v>108</v>
      </c>
      <c r="H16" s="50"/>
      <c r="I16" s="57"/>
      <c r="J16" s="50"/>
      <c r="K16" s="78"/>
      <c r="L16" s="139"/>
      <c r="M16" s="138"/>
      <c r="N16" s="138"/>
      <c r="O16" s="138"/>
    </row>
    <row r="17" spans="1:15" ht="27" thickBot="1">
      <c r="A17" s="96"/>
      <c r="B17" s="102"/>
      <c r="D17" s="77" t="s">
        <v>88</v>
      </c>
      <c r="E17" s="57"/>
      <c r="F17" s="106">
        <v>3.59</v>
      </c>
      <c r="G17" s="124" t="s">
        <v>96</v>
      </c>
      <c r="H17" s="50"/>
      <c r="I17" s="57"/>
      <c r="J17" s="50"/>
      <c r="K17" s="78"/>
      <c r="L17" s="139"/>
      <c r="M17" s="138"/>
      <c r="N17" s="138"/>
      <c r="O17" s="138"/>
    </row>
    <row r="18" spans="1:12" ht="30.75" customHeight="1" thickBot="1">
      <c r="A18" s="135" t="s">
        <v>33</v>
      </c>
      <c r="B18" s="136"/>
      <c r="D18" s="77" t="s">
        <v>109</v>
      </c>
      <c r="E18" s="57"/>
      <c r="F18" s="106">
        <v>7.34</v>
      </c>
      <c r="G18" s="124" t="s">
        <v>97</v>
      </c>
      <c r="H18" s="50"/>
      <c r="I18" s="57"/>
      <c r="J18" s="50"/>
      <c r="K18" s="78"/>
      <c r="L18" s="58"/>
    </row>
    <row r="19" spans="1:12" ht="26.25">
      <c r="A19" s="96"/>
      <c r="B19" s="102"/>
      <c r="D19" s="77"/>
      <c r="E19" s="57"/>
      <c r="F19" s="79"/>
      <c r="G19" s="57"/>
      <c r="H19" s="50"/>
      <c r="I19" s="57"/>
      <c r="J19" s="50"/>
      <c r="K19" s="78"/>
      <c r="L19" s="58"/>
    </row>
    <row r="20" spans="1:12" ht="26.25">
      <c r="A20" s="96" t="s">
        <v>93</v>
      </c>
      <c r="B20" s="103">
        <v>0.5</v>
      </c>
      <c r="D20" s="77" t="s">
        <v>91</v>
      </c>
      <c r="E20" s="57"/>
      <c r="F20" s="128">
        <f>(459+F16)+((459+F16)*(-1+F24^0.263))/B23-459</f>
        <v>152.82868619983753</v>
      </c>
      <c r="G20" s="80" t="s">
        <v>87</v>
      </c>
      <c r="H20" s="50"/>
      <c r="I20" s="57"/>
      <c r="J20" s="50"/>
      <c r="K20" s="78"/>
      <c r="L20" s="57"/>
    </row>
    <row r="21" spans="1:12" ht="32.25">
      <c r="A21" s="99" t="s">
        <v>84</v>
      </c>
      <c r="B21" s="103">
        <v>1.5</v>
      </c>
      <c r="D21" s="77" t="s">
        <v>110</v>
      </c>
      <c r="E21" s="57"/>
      <c r="F21" s="128">
        <f>F20-F16</f>
        <v>88.82868619983753</v>
      </c>
      <c r="G21" s="57"/>
      <c r="H21" s="50"/>
      <c r="I21" s="57"/>
      <c r="J21" s="50"/>
      <c r="K21" s="78"/>
      <c r="L21" s="59"/>
    </row>
    <row r="22" spans="1:12" ht="26.25">
      <c r="A22" s="96" t="s">
        <v>89</v>
      </c>
      <c r="B22" s="104">
        <v>0.7</v>
      </c>
      <c r="D22" s="77" t="s">
        <v>90</v>
      </c>
      <c r="E22" s="57"/>
      <c r="F22" s="116">
        <f>((F21*(1-B22)))+F16</f>
        <v>90.64860585995126</v>
      </c>
      <c r="G22" s="127" t="s">
        <v>102</v>
      </c>
      <c r="H22" s="129"/>
      <c r="I22" s="57"/>
      <c r="J22" s="50"/>
      <c r="K22" s="78"/>
      <c r="L22" s="57"/>
    </row>
    <row r="23" spans="1:12" ht="26.25">
      <c r="A23" s="96" t="s">
        <v>111</v>
      </c>
      <c r="B23" s="105">
        <v>0.65</v>
      </c>
      <c r="D23" s="81"/>
      <c r="E23" s="57"/>
      <c r="F23" s="82"/>
      <c r="G23" s="57"/>
      <c r="H23" s="50"/>
      <c r="I23" s="57"/>
      <c r="J23" s="50"/>
      <c r="K23" s="78"/>
      <c r="L23" s="60"/>
    </row>
    <row r="24" spans="3:13" ht="27" thickBot="1">
      <c r="C24" s="90"/>
      <c r="D24" s="83" t="s">
        <v>112</v>
      </c>
      <c r="E24" s="84"/>
      <c r="F24" s="85">
        <f>(F18+F17)/(F18)</f>
        <v>1.4891008174386922</v>
      </c>
      <c r="G24" s="125"/>
      <c r="H24" s="126"/>
      <c r="I24" s="126"/>
      <c r="J24" s="86"/>
      <c r="K24" s="87"/>
      <c r="L24" s="57"/>
      <c r="M24" s="89"/>
    </row>
    <row r="25" ht="15">
      <c r="L25" s="57"/>
    </row>
    <row r="26" spans="7:12" ht="15">
      <c r="G26" s="57"/>
      <c r="L26" s="57"/>
    </row>
    <row r="27" spans="6:12" ht="15">
      <c r="F27" s="50"/>
      <c r="G27" s="57"/>
      <c r="L27" s="57"/>
    </row>
    <row r="28" spans="5:12" ht="15">
      <c r="E28" s="50"/>
      <c r="G28" s="52"/>
      <c r="L28" s="57"/>
    </row>
    <row r="29" spans="5:12" ht="15">
      <c r="E29" s="50"/>
      <c r="G29" s="58"/>
      <c r="L29" s="57"/>
    </row>
    <row r="30" spans="5:12" ht="15">
      <c r="E30" s="50"/>
      <c r="G30" s="58"/>
      <c r="K30" s="41"/>
      <c r="L30" s="57"/>
    </row>
    <row r="31" spans="5:12" ht="15">
      <c r="E31" s="50"/>
      <c r="G31" s="57"/>
      <c r="L31" s="57"/>
    </row>
    <row r="32" spans="5:12" ht="15">
      <c r="E32" s="50"/>
      <c r="G32" s="59"/>
      <c r="L32" s="58"/>
    </row>
    <row r="33" spans="5:12" ht="15">
      <c r="E33" s="50"/>
      <c r="G33" s="57"/>
      <c r="L33" s="58"/>
    </row>
    <row r="34" spans="7:12" ht="15">
      <c r="G34" s="53"/>
      <c r="L34"/>
    </row>
    <row r="35" ht="15">
      <c r="L35"/>
    </row>
    <row r="36" ht="15">
      <c r="L36"/>
    </row>
    <row r="37" spans="11:12" ht="26.25">
      <c r="K37" s="54"/>
      <c r="L37" s="55"/>
    </row>
    <row r="40" ht="15">
      <c r="G40" s="57"/>
    </row>
    <row r="41" spans="6:7" ht="15">
      <c r="F41" s="41"/>
      <c r="G41" s="57"/>
    </row>
    <row r="42" ht="15">
      <c r="G42" s="57"/>
    </row>
    <row r="43" ht="15">
      <c r="G43" s="58"/>
    </row>
    <row r="44" ht="15">
      <c r="G44" s="58"/>
    </row>
    <row r="45" ht="15">
      <c r="G45" s="57"/>
    </row>
    <row r="48" spans="6:7" ht="26.25">
      <c r="F48" s="54"/>
      <c r="G48" s="55"/>
    </row>
  </sheetData>
  <sheetProtection/>
  <mergeCells count="4">
    <mergeCell ref="K2:L2"/>
    <mergeCell ref="A13:B13"/>
    <mergeCell ref="A18:B18"/>
    <mergeCell ref="L15:O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dimension ref="A1:G38"/>
  <sheetViews>
    <sheetView zoomScalePageLayoutView="0" workbookViewId="0" topLeftCell="A1">
      <selection activeCell="B13" sqref="B13"/>
    </sheetView>
  </sheetViews>
  <sheetFormatPr defaultColWidth="9.140625" defaultRowHeight="15"/>
  <cols>
    <col min="1" max="1" width="17.7109375" style="43" customWidth="1"/>
    <col min="2" max="2" width="18.7109375" style="43" customWidth="1"/>
    <col min="3" max="3" width="21.57421875" style="43" customWidth="1"/>
    <col min="4" max="4" width="50.421875" style="0" customWidth="1"/>
    <col min="5" max="5" width="21.8515625" style="0" customWidth="1"/>
    <col min="6" max="6" width="38.7109375" style="0" customWidth="1"/>
  </cols>
  <sheetData>
    <row r="1" spans="1:3" s="41" customFormat="1" ht="15">
      <c r="A1" s="44" t="s">
        <v>69</v>
      </c>
      <c r="B1" s="44" t="s">
        <v>70</v>
      </c>
      <c r="C1" s="44" t="s">
        <v>71</v>
      </c>
    </row>
    <row r="2" spans="1:7" ht="22.5" customHeight="1">
      <c r="A2" s="45">
        <v>0</v>
      </c>
      <c r="B2" s="45">
        <v>14.75</v>
      </c>
      <c r="C2" s="46">
        <v>29.92</v>
      </c>
      <c r="F2" s="48"/>
      <c r="G2" s="43"/>
    </row>
    <row r="3" spans="1:3" ht="15">
      <c r="A3" s="45">
        <v>500</v>
      </c>
      <c r="B3" s="45">
        <v>14.43</v>
      </c>
      <c r="C3" s="46">
        <v>23.39</v>
      </c>
    </row>
    <row r="4" spans="1:7" ht="15">
      <c r="A4" s="45">
        <v>1000</v>
      </c>
      <c r="B4" s="45">
        <v>14.17</v>
      </c>
      <c r="C4" s="46">
        <v>28.86</v>
      </c>
      <c r="F4" s="47"/>
      <c r="G4" s="49"/>
    </row>
    <row r="5" spans="1:3" ht="15">
      <c r="A5" s="45">
        <v>1500</v>
      </c>
      <c r="B5" s="45">
        <v>13.91</v>
      </c>
      <c r="C5" s="46">
        <v>28.34</v>
      </c>
    </row>
    <row r="6" spans="1:3" ht="15">
      <c r="A6" s="45">
        <v>2000</v>
      </c>
      <c r="B6" s="45">
        <v>13.66</v>
      </c>
      <c r="C6" s="46">
        <v>27.82</v>
      </c>
    </row>
    <row r="7" spans="1:3" ht="15">
      <c r="A7" s="45">
        <v>2500</v>
      </c>
      <c r="B7" s="45">
        <v>13.41</v>
      </c>
      <c r="C7" s="46">
        <v>27.32</v>
      </c>
    </row>
    <row r="8" spans="1:3" ht="15">
      <c r="A8" s="45">
        <v>3000</v>
      </c>
      <c r="B8" s="45">
        <v>13.17</v>
      </c>
      <c r="C8" s="46">
        <v>26.82</v>
      </c>
    </row>
    <row r="9" spans="1:3" ht="15">
      <c r="A9" s="45">
        <v>3500</v>
      </c>
      <c r="B9" s="45">
        <v>12.93</v>
      </c>
      <c r="C9" s="46">
        <v>26.33</v>
      </c>
    </row>
    <row r="10" spans="1:3" ht="15">
      <c r="A10" s="45">
        <v>4000</v>
      </c>
      <c r="B10" s="45">
        <v>12.69</v>
      </c>
      <c r="C10" s="46">
        <v>25.34</v>
      </c>
    </row>
    <row r="11" spans="1:3" ht="15">
      <c r="A11" s="45">
        <v>4500</v>
      </c>
      <c r="B11" s="45">
        <v>12.46</v>
      </c>
      <c r="C11" s="46">
        <v>25.37</v>
      </c>
    </row>
    <row r="12" spans="1:3" ht="15">
      <c r="A12" s="45">
        <v>5000</v>
      </c>
      <c r="B12" s="45">
        <v>12.23</v>
      </c>
      <c r="C12" s="46">
        <v>24.9</v>
      </c>
    </row>
    <row r="13" spans="1:3" ht="15">
      <c r="A13" s="45">
        <v>5500</v>
      </c>
      <c r="B13" s="45">
        <v>12</v>
      </c>
      <c r="C13" s="46">
        <v>24.44</v>
      </c>
    </row>
    <row r="14" spans="1:3" ht="15">
      <c r="A14" s="45">
        <v>6000</v>
      </c>
      <c r="B14" s="45">
        <v>11.77</v>
      </c>
      <c r="C14" s="46">
        <v>23.98</v>
      </c>
    </row>
    <row r="15" spans="1:3" ht="15">
      <c r="A15" s="45">
        <v>6500</v>
      </c>
      <c r="B15" s="45">
        <v>11.55</v>
      </c>
      <c r="C15" s="46">
        <v>23.53</v>
      </c>
    </row>
    <row r="16" spans="1:3" ht="15">
      <c r="A16" s="45">
        <v>7000</v>
      </c>
      <c r="B16" s="45">
        <v>11.34</v>
      </c>
      <c r="C16" s="46">
        <v>23.09</v>
      </c>
    </row>
    <row r="17" spans="1:3" ht="15">
      <c r="A17" s="45">
        <v>7500</v>
      </c>
      <c r="B17" s="45">
        <v>11.13</v>
      </c>
      <c r="C17" s="46">
        <v>22.66</v>
      </c>
    </row>
    <row r="18" spans="1:3" ht="15">
      <c r="A18" s="45">
        <v>8000</v>
      </c>
      <c r="B18" s="45">
        <v>10.91</v>
      </c>
      <c r="C18" s="46">
        <v>22.23</v>
      </c>
    </row>
    <row r="19" spans="1:3" ht="15">
      <c r="A19" s="45">
        <v>8500</v>
      </c>
      <c r="B19" s="45">
        <v>10.71</v>
      </c>
      <c r="C19" s="46">
        <v>21.81</v>
      </c>
    </row>
    <row r="20" spans="1:3" ht="15">
      <c r="A20" s="45">
        <v>9000</v>
      </c>
      <c r="B20" s="45">
        <v>10.5</v>
      </c>
      <c r="C20" s="46">
        <v>21.39</v>
      </c>
    </row>
    <row r="21" spans="1:3" ht="15">
      <c r="A21" s="45">
        <v>9500</v>
      </c>
      <c r="B21" s="45">
        <v>10.3</v>
      </c>
      <c r="C21" s="46">
        <v>20.98</v>
      </c>
    </row>
    <row r="22" spans="1:3" ht="15">
      <c r="A22" s="45">
        <v>10000</v>
      </c>
      <c r="B22" s="45">
        <v>10.1</v>
      </c>
      <c r="C22" s="46">
        <v>20.58</v>
      </c>
    </row>
    <row r="23" spans="1:3" ht="15">
      <c r="A23" s="45">
        <v>10500</v>
      </c>
      <c r="B23" s="45">
        <v>9.91</v>
      </c>
      <c r="C23" s="46">
        <v>20.19</v>
      </c>
    </row>
    <row r="24" spans="1:3" ht="15">
      <c r="A24" s="45">
        <v>11000</v>
      </c>
      <c r="B24" s="45">
        <v>9.72</v>
      </c>
      <c r="C24" s="46">
        <v>19.8</v>
      </c>
    </row>
    <row r="25" spans="1:3" ht="15">
      <c r="A25" s="45">
        <v>11500</v>
      </c>
      <c r="B25" s="45">
        <v>9.53</v>
      </c>
      <c r="C25" s="46">
        <v>19.41</v>
      </c>
    </row>
    <row r="26" spans="1:3" ht="15">
      <c r="A26" s="45">
        <v>12000</v>
      </c>
      <c r="B26" s="45">
        <v>9.34</v>
      </c>
      <c r="C26" s="46">
        <v>19.03</v>
      </c>
    </row>
    <row r="27" spans="1:3" ht="15">
      <c r="A27" s="45">
        <v>12500</v>
      </c>
      <c r="B27" s="45">
        <v>9.16</v>
      </c>
      <c r="C27" s="46">
        <v>18.66</v>
      </c>
    </row>
    <row r="28" spans="1:3" ht="15">
      <c r="A28" s="45">
        <v>13000</v>
      </c>
      <c r="B28" s="45">
        <v>8.99</v>
      </c>
      <c r="C28" s="46">
        <v>18.3</v>
      </c>
    </row>
    <row r="29" spans="1:3" ht="15">
      <c r="A29" s="45">
        <v>13500</v>
      </c>
      <c r="B29" s="45">
        <v>8.81</v>
      </c>
      <c r="C29" s="46">
        <v>17.94</v>
      </c>
    </row>
    <row r="30" spans="1:3" ht="15">
      <c r="A30" s="45">
        <v>14000</v>
      </c>
      <c r="B30" s="45">
        <v>8.63</v>
      </c>
      <c r="C30" s="46">
        <v>17.58</v>
      </c>
    </row>
    <row r="31" spans="1:3" ht="15">
      <c r="A31" s="45">
        <v>14500</v>
      </c>
      <c r="B31" s="45">
        <v>8.46</v>
      </c>
      <c r="C31" s="46">
        <v>17.24</v>
      </c>
    </row>
    <row r="32" spans="1:3" ht="15">
      <c r="A32" s="45">
        <v>15000</v>
      </c>
      <c r="B32" s="45">
        <v>8.29</v>
      </c>
      <c r="C32" s="46">
        <v>16.89</v>
      </c>
    </row>
    <row r="33" spans="1:3" ht="15">
      <c r="A33" s="45">
        <v>15500</v>
      </c>
      <c r="B33" s="45">
        <v>8.13</v>
      </c>
      <c r="C33" s="46">
        <v>16.56</v>
      </c>
    </row>
    <row r="34" spans="1:3" ht="15">
      <c r="A34" s="45">
        <v>16000</v>
      </c>
      <c r="B34" s="45">
        <v>7.96</v>
      </c>
      <c r="C34" s="46">
        <v>16.22</v>
      </c>
    </row>
    <row r="35" spans="1:3" ht="15">
      <c r="A35" s="45">
        <v>16500</v>
      </c>
      <c r="B35" s="45">
        <v>7.81</v>
      </c>
      <c r="C35" s="46">
        <v>15.9</v>
      </c>
    </row>
    <row r="36" spans="1:3" ht="15">
      <c r="A36" s="45">
        <v>17000</v>
      </c>
      <c r="B36" s="45">
        <v>7.65</v>
      </c>
      <c r="C36" s="46">
        <v>15.58</v>
      </c>
    </row>
    <row r="37" spans="1:3" ht="15">
      <c r="A37" s="45">
        <v>17500</v>
      </c>
      <c r="B37" s="45">
        <v>7.47</v>
      </c>
      <c r="C37" s="46">
        <v>15.26</v>
      </c>
    </row>
    <row r="38" spans="1:3" ht="15">
      <c r="A38" s="45">
        <v>18000</v>
      </c>
      <c r="B38" s="45">
        <v>7.34</v>
      </c>
      <c r="C38" s="46">
        <v>14.95</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
      <selection activeCell="R53" sqref="R53"/>
    </sheetView>
  </sheetViews>
  <sheetFormatPr defaultColWidth="9.140625" defaultRowHeight="15"/>
  <cols>
    <col min="1" max="16384" width="9.140625" style="73" customWidth="1"/>
  </cols>
  <sheetData/>
  <sheetProtection/>
  <printOptions/>
  <pageMargins left="0.7479166666666667" right="0.7479166666666667" top="0.65" bottom="0.9840277777777778" header="0.5118055555555556" footer="0.5118055555555556"/>
  <pageSetup fitToHeight="1" fitToWidth="1" horizontalDpi="300" verticalDpi="300" orientation="landscape" scale="85" r:id="rId2"/>
  <drawing r:id="rId1"/>
</worksheet>
</file>

<file path=xl/worksheets/sheet12.xml><?xml version="1.0" encoding="utf-8"?>
<worksheet xmlns="http://schemas.openxmlformats.org/spreadsheetml/2006/main" xmlns:r="http://schemas.openxmlformats.org/officeDocument/2006/relationships">
  <dimension ref="A3:C4"/>
  <sheetViews>
    <sheetView tabSelected="1" zoomScalePageLayoutView="0" workbookViewId="0" topLeftCell="A1">
      <selection activeCell="C7" sqref="C7"/>
    </sheetView>
  </sheetViews>
  <sheetFormatPr defaultColWidth="9.140625" defaultRowHeight="15"/>
  <cols>
    <col min="1" max="1" width="12.57421875" style="0" customWidth="1"/>
    <col min="2" max="2" width="17.28125" style="0" customWidth="1"/>
    <col min="3" max="3" width="59.00390625" style="0" customWidth="1"/>
    <col min="4" max="4" width="14.7109375" style="0" customWidth="1"/>
  </cols>
  <sheetData>
    <row r="3" spans="1:3" ht="15" customHeight="1">
      <c r="A3" s="130">
        <v>41470</v>
      </c>
      <c r="B3" t="s">
        <v>119</v>
      </c>
      <c r="C3" t="s">
        <v>116</v>
      </c>
    </row>
    <row r="4" spans="1:3" ht="15">
      <c r="A4" s="130">
        <v>41471</v>
      </c>
      <c r="B4" t="s">
        <v>118</v>
      </c>
      <c r="C4" t="s">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M98"/>
  <sheetViews>
    <sheetView zoomScalePageLayoutView="0" workbookViewId="0" topLeftCell="A10">
      <selection activeCell="F37" sqref="F37:F38"/>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140625" style="2" customWidth="1"/>
    <col min="10" max="11" width="9.140625" style="2" customWidth="1"/>
    <col min="12" max="12" width="12.421875" style="2" customWidth="1"/>
    <col min="13" max="16384" width="9.140625" style="2" customWidth="1"/>
  </cols>
  <sheetData>
    <row r="1" ht="31.5">
      <c r="A1" s="1"/>
    </row>
    <row r="2" ht="12.75"/>
    <row r="3" spans="1:5" ht="15.75">
      <c r="A3" s="142" t="s">
        <v>50</v>
      </c>
      <c r="B3" s="142"/>
      <c r="C3" s="142"/>
      <c r="D3" s="142"/>
      <c r="E3" s="142"/>
    </row>
    <row r="4" spans="2:6" ht="12.75">
      <c r="B4" s="148" t="s">
        <v>1</v>
      </c>
      <c r="C4" s="148"/>
      <c r="D4" s="148"/>
      <c r="E4" s="148"/>
      <c r="F4" s="148"/>
    </row>
    <row r="5" ht="13.5" thickBot="1"/>
    <row r="6" spans="2:13" ht="16.5" thickBot="1">
      <c r="B6" s="2" t="s">
        <v>2</v>
      </c>
      <c r="F6" s="148" t="s">
        <v>4</v>
      </c>
      <c r="G6" s="148"/>
      <c r="H6" s="148"/>
      <c r="I6" s="148"/>
      <c r="J6" s="148"/>
      <c r="K6" s="148"/>
      <c r="L6" s="26" t="s">
        <v>67</v>
      </c>
      <c r="M6" s="25">
        <f>(C10*C14)/6</f>
        <v>19.708333333333336</v>
      </c>
    </row>
    <row r="7" spans="2:10" ht="12.75">
      <c r="B7" s="2" t="s">
        <v>3</v>
      </c>
      <c r="F7" s="148" t="s">
        <v>8</v>
      </c>
      <c r="G7" s="148"/>
      <c r="H7" s="148"/>
      <c r="I7" s="148"/>
      <c r="J7" s="148"/>
    </row>
    <row r="8" ht="12.75">
      <c r="B8" s="2" t="s">
        <v>0</v>
      </c>
    </row>
    <row r="9" ht="12.75"/>
    <row r="10" spans="2:5" ht="18" customHeight="1">
      <c r="B10" s="3" t="s">
        <v>7</v>
      </c>
      <c r="C10" s="67">
        <f>InputPage!E3</f>
        <v>215</v>
      </c>
      <c r="D10" s="9"/>
      <c r="E10" s="147" t="s">
        <v>9</v>
      </c>
    </row>
    <row r="11" spans="2:5" ht="6" customHeight="1" thickBot="1">
      <c r="B11" s="3"/>
      <c r="C11" s="3"/>
      <c r="D11" s="3"/>
      <c r="E11" s="147"/>
    </row>
    <row r="12" spans="2:7" ht="21.75" thickBot="1">
      <c r="B12" s="2" t="s">
        <v>6</v>
      </c>
      <c r="C12" s="35">
        <f>InputPage!G3</f>
        <v>12</v>
      </c>
      <c r="D12" s="10"/>
      <c r="E12" s="147"/>
      <c r="F12" s="39">
        <f>$C$10*$C$12*($C$14/60)</f>
        <v>23.65</v>
      </c>
      <c r="G12" s="2" t="s">
        <v>10</v>
      </c>
    </row>
    <row r="13" spans="3:10" ht="6" customHeight="1">
      <c r="C13" s="36"/>
      <c r="D13" s="3"/>
      <c r="E13" s="147"/>
      <c r="F13" s="141" t="s">
        <v>26</v>
      </c>
      <c r="G13" s="141"/>
      <c r="H13" s="141"/>
      <c r="I13" s="141"/>
      <c r="J13" s="141"/>
    </row>
    <row r="14" spans="2:10" ht="16.5" thickBot="1">
      <c r="B14" s="2" t="s">
        <v>5</v>
      </c>
      <c r="C14" s="37">
        <f>InputPage!F3</f>
        <v>0.55</v>
      </c>
      <c r="D14" s="10"/>
      <c r="E14" s="147"/>
      <c r="F14" s="141"/>
      <c r="G14" s="141"/>
      <c r="H14" s="141"/>
      <c r="I14" s="141"/>
      <c r="J14" s="141"/>
    </row>
    <row r="15" spans="6:10" ht="12.75">
      <c r="F15" s="141"/>
      <c r="G15" s="141"/>
      <c r="H15" s="141"/>
      <c r="I15" s="141"/>
      <c r="J15" s="141"/>
    </row>
    <row r="16" spans="2:4" ht="15.75">
      <c r="B16" s="5"/>
      <c r="C16" s="7"/>
      <c r="D16" s="7"/>
    </row>
    <row r="17" ht="12.75"/>
    <row r="18" ht="12.75"/>
    <row r="19" spans="1:8" ht="15.75">
      <c r="A19" s="142" t="s">
        <v>11</v>
      </c>
      <c r="B19" s="142"/>
      <c r="C19" s="142"/>
      <c r="D19" s="142"/>
      <c r="E19" s="142"/>
      <c r="F19" s="142"/>
      <c r="G19" s="142"/>
      <c r="H19" s="142"/>
    </row>
    <row r="20" spans="2:4" ht="13.5" thickBot="1">
      <c r="B20" s="11" t="s">
        <v>12</v>
      </c>
      <c r="C20" s="152" t="s">
        <v>51</v>
      </c>
      <c r="D20" s="152"/>
    </row>
    <row r="21" spans="3:4" ht="12.75">
      <c r="C21" s="149" t="s">
        <v>52</v>
      </c>
      <c r="D21" s="149"/>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23.65</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InputPage!I3</f>
        <v>69</v>
      </c>
    </row>
    <row r="36" ht="6" customHeight="1" thickBot="1">
      <c r="C36" s="32"/>
    </row>
    <row r="37" spans="2:6" ht="12.75" customHeight="1">
      <c r="B37" s="2" t="s">
        <v>21</v>
      </c>
      <c r="C37" s="33">
        <f>InputPage!B16</f>
        <v>95</v>
      </c>
      <c r="E37" s="151" t="s">
        <v>25</v>
      </c>
      <c r="F37" s="143">
        <f>($C$31*$C$33*(460+$C$35))/(($C$37/100)*($C$39/2)*($C$41*61.02))</f>
        <v>14.74767691927294</v>
      </c>
    </row>
    <row r="38" spans="3:6" ht="6" customHeight="1" thickBot="1">
      <c r="C38" s="32"/>
      <c r="E38" s="151"/>
      <c r="F38" s="144"/>
    </row>
    <row r="39" spans="2:6" ht="16.5" thickBot="1">
      <c r="B39" s="2" t="s">
        <v>20</v>
      </c>
      <c r="C39" s="34">
        <f>InputPage!D3</f>
        <v>7200</v>
      </c>
      <c r="E39" s="151"/>
      <c r="F39" s="15"/>
    </row>
    <row r="40" spans="3:6" ht="6" customHeight="1">
      <c r="C40" s="29"/>
      <c r="E40" s="151"/>
      <c r="F40" s="145">
        <f>($C$31*$C$33*(460+$C$35))/(($C$37/100)*($C$39/2)*($C$41*61.02))-I52</f>
        <v>-0.0023230807270593345</v>
      </c>
    </row>
    <row r="41" spans="2:6" ht="15.75" customHeight="1" thickBot="1">
      <c r="B41" s="2" t="s">
        <v>19</v>
      </c>
      <c r="C41" s="28">
        <f>InputPage!B15</f>
        <v>2.6</v>
      </c>
      <c r="E41" s="151"/>
      <c r="F41" s="146"/>
    </row>
    <row r="42" ht="12.75"/>
    <row r="43" ht="12.75"/>
    <row r="44" ht="12.75"/>
    <row r="45" spans="1:8" ht="15.75">
      <c r="A45" s="142" t="s">
        <v>33</v>
      </c>
      <c r="B45" s="142"/>
      <c r="C45" s="142"/>
      <c r="D45" s="142"/>
      <c r="E45" s="142"/>
      <c r="F45" s="142"/>
      <c r="G45" s="142"/>
      <c r="H45" s="142"/>
    </row>
    <row r="46" spans="2:9" ht="12.75">
      <c r="B46" s="140" t="s">
        <v>29</v>
      </c>
      <c r="C46" s="140"/>
      <c r="H46" s="140" t="s">
        <v>35</v>
      </c>
      <c r="I46" s="140"/>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14.74767691927294</v>
      </c>
      <c r="E52" s="150" t="s">
        <v>34</v>
      </c>
      <c r="H52" s="2" t="s">
        <v>39</v>
      </c>
      <c r="I52" s="30">
        <f>InputPage!C3</f>
        <v>14.75</v>
      </c>
      <c r="K52" s="150" t="s">
        <v>34</v>
      </c>
    </row>
    <row r="53" spans="5:11" ht="6" customHeight="1" thickBot="1">
      <c r="E53" s="150"/>
      <c r="K53" s="150"/>
    </row>
    <row r="54" spans="2:12" ht="15.75" customHeight="1" thickBot="1">
      <c r="B54" s="2" t="s">
        <v>32</v>
      </c>
      <c r="C54" s="27">
        <f>InputPage!B21</f>
        <v>1.5</v>
      </c>
      <c r="E54" s="150"/>
      <c r="F54" s="17">
        <f>$C$52+$C$54</f>
        <v>16.24767691927294</v>
      </c>
      <c r="H54" s="2" t="s">
        <v>40</v>
      </c>
      <c r="I54" s="27">
        <v>0.5</v>
      </c>
      <c r="K54" s="150"/>
      <c r="L54" s="17">
        <f>$I$52-$I$54</f>
        <v>14.25</v>
      </c>
    </row>
    <row r="55" spans="5:11" ht="12.75">
      <c r="E55" s="150"/>
      <c r="K55" s="150"/>
    </row>
    <row r="56" spans="5:11" ht="12.75">
      <c r="E56" s="150"/>
      <c r="K56" s="150"/>
    </row>
    <row r="60" spans="1:8" ht="15.75">
      <c r="A60" s="142" t="s">
        <v>41</v>
      </c>
      <c r="B60" s="142"/>
      <c r="C60" s="142"/>
      <c r="D60" s="142"/>
      <c r="E60" s="142"/>
      <c r="F60" s="142"/>
      <c r="G60" s="142"/>
      <c r="H60" s="142"/>
    </row>
    <row r="61" ht="12.75">
      <c r="B61" s="18" t="s">
        <v>42</v>
      </c>
    </row>
    <row r="63" ht="12.75">
      <c r="B63" s="11" t="s">
        <v>43</v>
      </c>
    </row>
    <row r="64" ht="12.75">
      <c r="B64" s="2" t="s">
        <v>44</v>
      </c>
    </row>
    <row r="65" ht="12.75">
      <c r="B65" s="2" t="s">
        <v>45</v>
      </c>
    </row>
    <row r="67" spans="2:5" ht="15.75" customHeight="1">
      <c r="B67" s="2" t="s">
        <v>47</v>
      </c>
      <c r="C67" s="16">
        <f>$F$54</f>
        <v>16.24767691927294</v>
      </c>
      <c r="E67" s="150" t="s">
        <v>46</v>
      </c>
    </row>
    <row r="68" ht="6" customHeight="1" thickBot="1">
      <c r="E68" s="150"/>
    </row>
    <row r="69" spans="2:6" ht="15.75" customHeight="1" thickBot="1">
      <c r="B69" s="2" t="s">
        <v>48</v>
      </c>
      <c r="C69" s="16">
        <f>$L$54</f>
        <v>14.25</v>
      </c>
      <c r="E69" s="150"/>
      <c r="F69" s="38">
        <f>$F$54/$L$54</f>
        <v>1.140187853984066</v>
      </c>
    </row>
    <row r="70" ht="12.75">
      <c r="E70" s="150"/>
    </row>
    <row r="71" spans="2:5" ht="15">
      <c r="B71" s="2" t="s">
        <v>68</v>
      </c>
      <c r="C71" s="40">
        <f>C67-C69</f>
        <v>1.9976769192729407</v>
      </c>
      <c r="E71" s="150"/>
    </row>
    <row r="75" spans="1:5" ht="15.75">
      <c r="A75" s="142" t="s">
        <v>49</v>
      </c>
      <c r="B75" s="142"/>
      <c r="C75" s="142"/>
      <c r="D75" s="142"/>
      <c r="E75" s="142"/>
    </row>
    <row r="76" spans="2:4" ht="13.5" thickBot="1">
      <c r="B76" s="20" t="s">
        <v>53</v>
      </c>
      <c r="C76" s="148" t="s">
        <v>54</v>
      </c>
      <c r="D76" s="148"/>
    </row>
    <row r="77" spans="2:6" ht="12.75">
      <c r="B77" s="19"/>
      <c r="C77" s="149" t="s">
        <v>55</v>
      </c>
      <c r="D77" s="149"/>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14.74767691927294</v>
      </c>
      <c r="D87" s="9"/>
      <c r="E87" s="147" t="s">
        <v>9</v>
      </c>
    </row>
    <row r="88" spans="2:5" ht="6" customHeight="1" thickBot="1">
      <c r="B88" s="3"/>
      <c r="C88" s="3"/>
      <c r="D88" s="3"/>
      <c r="E88" s="147"/>
    </row>
    <row r="89" spans="2:7" ht="15.75" customHeight="1" thickBot="1">
      <c r="B89" s="2" t="s">
        <v>62</v>
      </c>
      <c r="C89" s="14">
        <v>639.6</v>
      </c>
      <c r="D89" s="10"/>
      <c r="E89" s="147"/>
      <c r="F89" s="8">
        <f>($C$87*($C$93/100)*($C$95/2)*($C$97*61.02))/($C$89*(460+$C$91))</f>
        <v>15.609111346516006</v>
      </c>
      <c r="G89" s="2" t="s">
        <v>10</v>
      </c>
    </row>
    <row r="90" spans="3:10" ht="6" customHeight="1">
      <c r="C90" s="3"/>
      <c r="D90" s="3"/>
      <c r="E90" s="147"/>
      <c r="F90" s="24"/>
      <c r="G90" s="24"/>
      <c r="H90" s="24"/>
      <c r="I90" s="24"/>
      <c r="J90" s="24"/>
    </row>
    <row r="91" spans="2:10" ht="15.75" customHeight="1">
      <c r="B91" s="2" t="s">
        <v>63</v>
      </c>
      <c r="C91" s="12">
        <v>130</v>
      </c>
      <c r="D91" s="10"/>
      <c r="E91" s="147"/>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A3:E3"/>
    <mergeCell ref="E52:E56"/>
    <mergeCell ref="E37:E41"/>
    <mergeCell ref="B4:F4"/>
    <mergeCell ref="F7:J7"/>
    <mergeCell ref="F6:K6"/>
    <mergeCell ref="E10:E14"/>
    <mergeCell ref="C21:D21"/>
    <mergeCell ref="C20:D20"/>
    <mergeCell ref="K52:K56"/>
    <mergeCell ref="E87:E91"/>
    <mergeCell ref="C76:D76"/>
    <mergeCell ref="C77:D77"/>
    <mergeCell ref="A75:E75"/>
    <mergeCell ref="E67:E71"/>
    <mergeCell ref="A60:H60"/>
    <mergeCell ref="B46:C46"/>
    <mergeCell ref="H46:I46"/>
    <mergeCell ref="F13:J15"/>
    <mergeCell ref="A19:H19"/>
    <mergeCell ref="F37:F38"/>
    <mergeCell ref="A45:H45"/>
    <mergeCell ref="F40:F41"/>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M98"/>
  <sheetViews>
    <sheetView zoomScalePageLayoutView="0" workbookViewId="0" topLeftCell="A2">
      <selection activeCell="F40" sqref="F40:F41"/>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2" t="s">
        <v>50</v>
      </c>
      <c r="B3" s="142"/>
      <c r="C3" s="142"/>
      <c r="D3" s="142"/>
      <c r="E3" s="142"/>
    </row>
    <row r="4" spans="2:6" ht="12.75">
      <c r="B4" s="148" t="s">
        <v>1</v>
      </c>
      <c r="C4" s="148"/>
      <c r="D4" s="148"/>
      <c r="E4" s="148"/>
      <c r="F4" s="148"/>
    </row>
    <row r="5" ht="13.5" thickBot="1"/>
    <row r="6" spans="2:13" ht="16.5" thickBot="1">
      <c r="B6" s="2" t="s">
        <v>2</v>
      </c>
      <c r="F6" s="148" t="s">
        <v>4</v>
      </c>
      <c r="G6" s="148"/>
      <c r="H6" s="148"/>
      <c r="I6" s="148"/>
      <c r="J6" s="148"/>
      <c r="K6" s="148"/>
      <c r="L6" s="26" t="s">
        <v>67</v>
      </c>
      <c r="M6" s="35">
        <f>(C10*C14)/6</f>
        <v>22.916666666666668</v>
      </c>
    </row>
    <row r="7" spans="2:10" ht="12.75">
      <c r="B7" s="2" t="s">
        <v>3</v>
      </c>
      <c r="F7" s="148" t="s">
        <v>8</v>
      </c>
      <c r="G7" s="148"/>
      <c r="H7" s="148"/>
      <c r="I7" s="148"/>
      <c r="J7" s="148"/>
    </row>
    <row r="8" ht="12.75">
      <c r="B8" s="2" t="s">
        <v>0</v>
      </c>
    </row>
    <row r="9" ht="12.75"/>
    <row r="10" spans="2:5" ht="12.75">
      <c r="B10" s="3" t="s">
        <v>7</v>
      </c>
      <c r="C10" s="6">
        <f>InputPage!E4</f>
        <v>250</v>
      </c>
      <c r="D10" s="9"/>
      <c r="E10" s="147" t="s">
        <v>9</v>
      </c>
    </row>
    <row r="11" spans="2:5" ht="6" customHeight="1" thickBot="1">
      <c r="B11" s="3"/>
      <c r="C11" s="3"/>
      <c r="D11" s="3"/>
      <c r="E11" s="147"/>
    </row>
    <row r="12" spans="2:7" ht="21.75" thickBot="1">
      <c r="B12" s="2" t="s">
        <v>6</v>
      </c>
      <c r="C12" s="35">
        <f>InputPage!G4</f>
        <v>12</v>
      </c>
      <c r="D12" s="10"/>
      <c r="E12" s="147"/>
      <c r="F12" s="39">
        <f>$C$10*$C$12*($C$14/60)</f>
        <v>27.5</v>
      </c>
      <c r="G12" s="2" t="s">
        <v>10</v>
      </c>
    </row>
    <row r="13" spans="3:10" ht="6" customHeight="1">
      <c r="C13" s="36"/>
      <c r="D13" s="3"/>
      <c r="E13" s="147"/>
      <c r="F13" s="141" t="s">
        <v>26</v>
      </c>
      <c r="G13" s="141"/>
      <c r="H13" s="141"/>
      <c r="I13" s="141"/>
      <c r="J13" s="141"/>
    </row>
    <row r="14" spans="2:10" ht="16.5" thickBot="1">
      <c r="B14" s="2" t="s">
        <v>5</v>
      </c>
      <c r="C14" s="37">
        <f>InputPage!F4</f>
        <v>0.55</v>
      </c>
      <c r="D14" s="10"/>
      <c r="E14" s="147"/>
      <c r="F14" s="141"/>
      <c r="G14" s="141"/>
      <c r="H14" s="141"/>
      <c r="I14" s="141"/>
      <c r="J14" s="141"/>
    </row>
    <row r="15" spans="6:10" ht="12.75">
      <c r="F15" s="141"/>
      <c r="G15" s="141"/>
      <c r="H15" s="141"/>
      <c r="I15" s="141"/>
      <c r="J15" s="141"/>
    </row>
    <row r="16" spans="2:4" ht="15.75">
      <c r="B16" s="5"/>
      <c r="C16" s="7"/>
      <c r="D16" s="7"/>
    </row>
    <row r="17" ht="12.75"/>
    <row r="18" ht="12.75"/>
    <row r="19" spans="1:8" ht="15.75">
      <c r="A19" s="142" t="s">
        <v>11</v>
      </c>
      <c r="B19" s="142"/>
      <c r="C19" s="142"/>
      <c r="D19" s="142"/>
      <c r="E19" s="142"/>
      <c r="F19" s="142"/>
      <c r="G19" s="142"/>
      <c r="H19" s="142"/>
    </row>
    <row r="20" spans="2:4" ht="13.5" thickBot="1">
      <c r="B20" s="11" t="s">
        <v>12</v>
      </c>
      <c r="C20" s="152" t="s">
        <v>51</v>
      </c>
      <c r="D20" s="152"/>
    </row>
    <row r="21" spans="3:4" ht="12.75">
      <c r="C21" s="149" t="s">
        <v>52</v>
      </c>
      <c r="D21" s="149"/>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27.5</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InputPage!I4</f>
        <v>122.31</v>
      </c>
    </row>
    <row r="36" ht="6" customHeight="1" thickBot="1">
      <c r="C36" s="32"/>
    </row>
    <row r="37" spans="2:6" ht="12.75" customHeight="1">
      <c r="B37" s="2" t="s">
        <v>21</v>
      </c>
      <c r="C37" s="33">
        <f>InputPage!B16</f>
        <v>95</v>
      </c>
      <c r="E37" s="151" t="s">
        <v>25</v>
      </c>
      <c r="F37" s="143">
        <f>($C$31*$C$33*(460+$C$35))/(($C$37/100)*($C$39/2)*($C$41*61.02))</f>
        <v>18.8765985555498</v>
      </c>
    </row>
    <row r="38" spans="3:6" ht="6" customHeight="1" thickBot="1">
      <c r="C38" s="32"/>
      <c r="E38" s="151"/>
      <c r="F38" s="144"/>
    </row>
    <row r="39" spans="2:6" ht="16.5" thickBot="1">
      <c r="B39" s="2" t="s">
        <v>20</v>
      </c>
      <c r="C39" s="34">
        <f>InputPage!D4</f>
        <v>7200</v>
      </c>
      <c r="E39" s="151"/>
      <c r="F39" s="15"/>
    </row>
    <row r="40" spans="3:6" ht="6" customHeight="1">
      <c r="C40" s="29"/>
      <c r="E40" s="151"/>
      <c r="F40" s="145">
        <f>($C$31*$C$33*(460+$C$35))/(($C$37/100)*($C$39/2)*($C$41*61.02))-I52</f>
        <v>4.126598555549801</v>
      </c>
    </row>
    <row r="41" spans="2:6" ht="15.75" customHeight="1" thickBot="1">
      <c r="B41" s="2" t="s">
        <v>19</v>
      </c>
      <c r="C41" s="28">
        <f>InputPage!B15</f>
        <v>2.6</v>
      </c>
      <c r="E41" s="151"/>
      <c r="F41" s="146"/>
    </row>
    <row r="42" ht="12.75"/>
    <row r="43" ht="12.75"/>
    <row r="44" ht="12.75"/>
    <row r="45" spans="1:8" ht="15.75">
      <c r="A45" s="142" t="s">
        <v>33</v>
      </c>
      <c r="B45" s="142"/>
      <c r="C45" s="142"/>
      <c r="D45" s="142"/>
      <c r="E45" s="142"/>
      <c r="F45" s="142"/>
      <c r="G45" s="142"/>
      <c r="H45" s="142"/>
    </row>
    <row r="46" spans="2:9" ht="12.75">
      <c r="B46" s="140" t="s">
        <v>29</v>
      </c>
      <c r="C46" s="140"/>
      <c r="H46" s="140" t="s">
        <v>35</v>
      </c>
      <c r="I46" s="140"/>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18.8765985555498</v>
      </c>
      <c r="E52" s="150" t="s">
        <v>34</v>
      </c>
      <c r="H52" s="2" t="s">
        <v>39</v>
      </c>
      <c r="I52" s="30">
        <f>InputPage!C4</f>
        <v>14.75</v>
      </c>
      <c r="K52" s="150" t="s">
        <v>34</v>
      </c>
    </row>
    <row r="53" spans="5:11" ht="6" customHeight="1" thickBot="1">
      <c r="E53" s="150"/>
      <c r="K53" s="150"/>
    </row>
    <row r="54" spans="2:12" ht="15.75" customHeight="1" thickBot="1">
      <c r="B54" s="2" t="s">
        <v>32</v>
      </c>
      <c r="C54" s="27">
        <f>InputPage!B21</f>
        <v>1.5</v>
      </c>
      <c r="E54" s="150"/>
      <c r="F54" s="17">
        <f>$C$52+$C$54</f>
        <v>20.3765985555498</v>
      </c>
      <c r="H54" s="2" t="s">
        <v>40</v>
      </c>
      <c r="I54" s="27">
        <f>InputPage!B20</f>
        <v>0.5</v>
      </c>
      <c r="K54" s="150"/>
      <c r="L54" s="17">
        <f>$I$52-$I$54</f>
        <v>14.25</v>
      </c>
    </row>
    <row r="55" spans="5:11" ht="12.75">
      <c r="E55" s="150"/>
      <c r="K55" s="150"/>
    </row>
    <row r="56" spans="5:11" ht="12.75">
      <c r="E56" s="150"/>
      <c r="K56" s="150"/>
    </row>
    <row r="60" spans="1:8" ht="15.75">
      <c r="A60" s="142" t="s">
        <v>41</v>
      </c>
      <c r="B60" s="142"/>
      <c r="C60" s="142"/>
      <c r="D60" s="142"/>
      <c r="E60" s="142"/>
      <c r="F60" s="142"/>
      <c r="G60" s="142"/>
      <c r="H60" s="142"/>
    </row>
    <row r="61" ht="12.75">
      <c r="B61" s="18" t="s">
        <v>42</v>
      </c>
    </row>
    <row r="63" ht="12.75">
      <c r="B63" s="11" t="s">
        <v>43</v>
      </c>
    </row>
    <row r="64" ht="12.75">
      <c r="B64" s="2" t="s">
        <v>44</v>
      </c>
    </row>
    <row r="65" ht="12.75">
      <c r="B65" s="2" t="s">
        <v>45</v>
      </c>
    </row>
    <row r="67" spans="2:5" ht="15.75" customHeight="1">
      <c r="B67" s="2" t="s">
        <v>47</v>
      </c>
      <c r="C67" s="16">
        <f>$F$54</f>
        <v>20.3765985555498</v>
      </c>
      <c r="E67" s="150" t="s">
        <v>46</v>
      </c>
    </row>
    <row r="68" ht="6" customHeight="1" thickBot="1">
      <c r="E68" s="150"/>
    </row>
    <row r="69" spans="2:6" ht="15.75" customHeight="1" thickBot="1">
      <c r="B69" s="2" t="s">
        <v>48</v>
      </c>
      <c r="C69" s="16">
        <f>$L$54</f>
        <v>14.25</v>
      </c>
      <c r="E69" s="150"/>
      <c r="F69" s="38">
        <f>$F$54/$L$54</f>
        <v>1.429936740740337</v>
      </c>
    </row>
    <row r="70" ht="12.75">
      <c r="E70" s="150"/>
    </row>
    <row r="71" spans="2:5" ht="15">
      <c r="B71" s="2" t="s">
        <v>68</v>
      </c>
      <c r="C71" s="40">
        <f>C67-C69</f>
        <v>6.126598555549801</v>
      </c>
      <c r="E71" s="150"/>
    </row>
    <row r="75" spans="1:5" ht="15.75">
      <c r="A75" s="142" t="s">
        <v>49</v>
      </c>
      <c r="B75" s="142"/>
      <c r="C75" s="142"/>
      <c r="D75" s="142"/>
      <c r="E75" s="142"/>
    </row>
    <row r="76" spans="2:4" ht="13.5" thickBot="1">
      <c r="B76" s="20" t="s">
        <v>53</v>
      </c>
      <c r="C76" s="148" t="s">
        <v>54</v>
      </c>
      <c r="D76" s="148"/>
    </row>
    <row r="77" spans="2:6" ht="12.75">
      <c r="B77" s="19"/>
      <c r="C77" s="149" t="s">
        <v>55</v>
      </c>
      <c r="D77" s="149"/>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18.8765985555498</v>
      </c>
      <c r="D87" s="9"/>
      <c r="E87" s="147" t="s">
        <v>9</v>
      </c>
    </row>
    <row r="88" spans="2:5" ht="6" customHeight="1" thickBot="1">
      <c r="B88" s="3"/>
      <c r="C88" s="3"/>
      <c r="D88" s="3"/>
      <c r="E88" s="147"/>
    </row>
    <row r="89" spans="2:7" ht="15.75" customHeight="1" thickBot="1">
      <c r="B89" s="2" t="s">
        <v>62</v>
      </c>
      <c r="C89" s="14">
        <v>639.6</v>
      </c>
      <c r="D89" s="10"/>
      <c r="E89" s="147"/>
      <c r="F89" s="8">
        <f>($C$87*($C$93/100)*($C$95/2)*($C$97*61.02))/($C$89*(460+$C$91))</f>
        <v>19.97920962806026</v>
      </c>
      <c r="G89" s="2" t="s">
        <v>10</v>
      </c>
    </row>
    <row r="90" spans="3:10" ht="6" customHeight="1">
      <c r="C90" s="3"/>
      <c r="D90" s="3"/>
      <c r="E90" s="147"/>
      <c r="F90" s="24"/>
      <c r="G90" s="24"/>
      <c r="H90" s="24"/>
      <c r="I90" s="24"/>
      <c r="J90" s="24"/>
    </row>
    <row r="91" spans="2:10" ht="15.75" customHeight="1">
      <c r="B91" s="2" t="s">
        <v>63</v>
      </c>
      <c r="C91" s="12">
        <v>130</v>
      </c>
      <c r="D91" s="10"/>
      <c r="E91" s="147"/>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E67:E71"/>
    <mergeCell ref="A75:E75"/>
    <mergeCell ref="C76:D76"/>
    <mergeCell ref="C77:D77"/>
    <mergeCell ref="E87:E91"/>
    <mergeCell ref="A45:H45"/>
    <mergeCell ref="B46:C46"/>
    <mergeCell ref="H46:I46"/>
    <mergeCell ref="E52:E56"/>
    <mergeCell ref="K52:K56"/>
    <mergeCell ref="A60:H60"/>
    <mergeCell ref="A19:H19"/>
    <mergeCell ref="C20:D20"/>
    <mergeCell ref="C21:D21"/>
    <mergeCell ref="E37:E41"/>
    <mergeCell ref="F37:F38"/>
    <mergeCell ref="F40:F41"/>
    <mergeCell ref="A3:E3"/>
    <mergeCell ref="B4:F4"/>
    <mergeCell ref="F6:K6"/>
    <mergeCell ref="F7:J7"/>
    <mergeCell ref="E10:E14"/>
    <mergeCell ref="F13:J15"/>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M98"/>
  <sheetViews>
    <sheetView zoomScalePageLayoutView="0" workbookViewId="0" topLeftCell="A16">
      <selection activeCell="F40" sqref="F40:F41"/>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2" t="s">
        <v>50</v>
      </c>
      <c r="B3" s="142"/>
      <c r="C3" s="142"/>
      <c r="D3" s="142"/>
      <c r="E3" s="142"/>
    </row>
    <row r="4" spans="2:6" ht="12.75">
      <c r="B4" s="148" t="s">
        <v>1</v>
      </c>
      <c r="C4" s="148"/>
      <c r="D4" s="148"/>
      <c r="E4" s="148"/>
      <c r="F4" s="148"/>
    </row>
    <row r="5" ht="13.5" thickBot="1"/>
    <row r="6" spans="2:13" ht="16.5" thickBot="1">
      <c r="B6" s="2" t="s">
        <v>2</v>
      </c>
      <c r="F6" s="148" t="s">
        <v>4</v>
      </c>
      <c r="G6" s="148"/>
      <c r="H6" s="148"/>
      <c r="I6" s="148"/>
      <c r="J6" s="148"/>
      <c r="K6" s="148"/>
      <c r="L6" s="26" t="s">
        <v>67</v>
      </c>
      <c r="M6" s="25">
        <f>(C10*C14)/6</f>
        <v>16.500000000000004</v>
      </c>
    </row>
    <row r="7" spans="2:10" ht="12.75">
      <c r="B7" s="2" t="s">
        <v>3</v>
      </c>
      <c r="F7" s="148" t="s">
        <v>8</v>
      </c>
      <c r="G7" s="148"/>
      <c r="H7" s="148"/>
      <c r="I7" s="148"/>
      <c r="J7" s="148"/>
    </row>
    <row r="8" ht="12.75">
      <c r="B8" s="2" t="s">
        <v>0</v>
      </c>
    </row>
    <row r="9" ht="12.75"/>
    <row r="10" spans="2:5" ht="12.75">
      <c r="B10" s="3" t="s">
        <v>7</v>
      </c>
      <c r="C10" s="6">
        <f>InputPage!E5</f>
        <v>180</v>
      </c>
      <c r="D10" s="9"/>
      <c r="E10" s="147" t="s">
        <v>9</v>
      </c>
    </row>
    <row r="11" spans="2:5" ht="6" customHeight="1" thickBot="1">
      <c r="B11" s="3"/>
      <c r="C11" s="3"/>
      <c r="D11" s="3"/>
      <c r="E11" s="147"/>
    </row>
    <row r="12" spans="2:7" ht="21.75" thickBot="1">
      <c r="B12" s="2" t="s">
        <v>6</v>
      </c>
      <c r="C12" s="35">
        <f>InputPage!G5</f>
        <v>12.5</v>
      </c>
      <c r="D12" s="10"/>
      <c r="E12" s="147"/>
      <c r="F12" s="39">
        <f>$C$10*$C$12*($C$14/60)</f>
        <v>20.625</v>
      </c>
      <c r="G12" s="2" t="s">
        <v>10</v>
      </c>
    </row>
    <row r="13" spans="3:10" ht="6" customHeight="1">
      <c r="C13" s="36"/>
      <c r="D13" s="3"/>
      <c r="E13" s="147"/>
      <c r="F13" s="141" t="s">
        <v>26</v>
      </c>
      <c r="G13" s="141"/>
      <c r="H13" s="141"/>
      <c r="I13" s="141"/>
      <c r="J13" s="141"/>
    </row>
    <row r="14" spans="2:10" ht="16.5" thickBot="1">
      <c r="B14" s="2" t="s">
        <v>5</v>
      </c>
      <c r="C14" s="37">
        <f>InputPage!F5</f>
        <v>0.55</v>
      </c>
      <c r="D14" s="10"/>
      <c r="E14" s="147"/>
      <c r="F14" s="141"/>
      <c r="G14" s="141"/>
      <c r="H14" s="141"/>
      <c r="I14" s="141"/>
      <c r="J14" s="141"/>
    </row>
    <row r="15" spans="6:10" ht="12.75">
      <c r="F15" s="141"/>
      <c r="G15" s="141"/>
      <c r="H15" s="141"/>
      <c r="I15" s="141"/>
      <c r="J15" s="141"/>
    </row>
    <row r="16" spans="2:4" ht="15.75">
      <c r="B16" s="5"/>
      <c r="C16" s="7"/>
      <c r="D16" s="7"/>
    </row>
    <row r="17" ht="12.75"/>
    <row r="18" ht="12.75"/>
    <row r="19" spans="1:8" ht="15.75">
      <c r="A19" s="142" t="s">
        <v>11</v>
      </c>
      <c r="B19" s="142"/>
      <c r="C19" s="142"/>
      <c r="D19" s="142"/>
      <c r="E19" s="142"/>
      <c r="F19" s="142"/>
      <c r="G19" s="142"/>
      <c r="H19" s="142"/>
    </row>
    <row r="20" spans="2:4" ht="13.5" thickBot="1">
      <c r="B20" s="11" t="s">
        <v>12</v>
      </c>
      <c r="C20" s="152" t="s">
        <v>51</v>
      </c>
      <c r="D20" s="152"/>
    </row>
    <row r="21" spans="3:4" ht="12.75">
      <c r="C21" s="149" t="s">
        <v>52</v>
      </c>
      <c r="D21" s="149"/>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20.625</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InputPage!I5</f>
        <v>109.43</v>
      </c>
    </row>
    <row r="36" ht="6" customHeight="1" thickBot="1">
      <c r="C36" s="32"/>
    </row>
    <row r="37" spans="2:6" ht="12.75" customHeight="1">
      <c r="B37" s="2" t="s">
        <v>21</v>
      </c>
      <c r="C37" s="33">
        <f>InputPage!B16</f>
        <v>95</v>
      </c>
      <c r="E37" s="151" t="s">
        <v>25</v>
      </c>
      <c r="F37" s="143">
        <f>($C$31*$C$33*(460+$C$35))/(($C$37/100)*($C$39/2)*($C$41*61.02))</f>
        <v>14.6586738677772</v>
      </c>
    </row>
    <row r="38" spans="3:6" ht="6" customHeight="1" thickBot="1">
      <c r="C38" s="32"/>
      <c r="E38" s="151"/>
      <c r="F38" s="144"/>
    </row>
    <row r="39" spans="2:6" ht="16.5" thickBot="1">
      <c r="B39" s="2" t="s">
        <v>20</v>
      </c>
      <c r="C39" s="34">
        <f>InputPage!D5</f>
        <v>6800</v>
      </c>
      <c r="E39" s="151"/>
      <c r="F39" s="15"/>
    </row>
    <row r="40" spans="3:6" ht="6" customHeight="1">
      <c r="C40" s="29"/>
      <c r="E40" s="151"/>
      <c r="F40" s="145">
        <f>($C$31*$C$33*(460+$C$35))/(($C$37/100)*($C$39/2)*($C$41*61.02))-I52</f>
        <v>3.7486738677771996</v>
      </c>
    </row>
    <row r="41" spans="2:6" ht="15.75" customHeight="1" thickBot="1">
      <c r="B41" s="2" t="s">
        <v>19</v>
      </c>
      <c r="C41" s="28">
        <f>InputPage!B15</f>
        <v>2.6</v>
      </c>
      <c r="E41" s="151"/>
      <c r="F41" s="146"/>
    </row>
    <row r="42" ht="12.75"/>
    <row r="43" ht="12.75"/>
    <row r="44" ht="12.75"/>
    <row r="45" spans="1:8" ht="15.75">
      <c r="A45" s="142" t="s">
        <v>33</v>
      </c>
      <c r="B45" s="142"/>
      <c r="C45" s="142"/>
      <c r="D45" s="142"/>
      <c r="E45" s="142"/>
      <c r="F45" s="142"/>
      <c r="G45" s="142"/>
      <c r="H45" s="142"/>
    </row>
    <row r="46" spans="2:9" ht="12.75">
      <c r="B46" s="140" t="s">
        <v>29</v>
      </c>
      <c r="C46" s="140"/>
      <c r="H46" s="140" t="s">
        <v>35</v>
      </c>
      <c r="I46" s="140"/>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14.6586738677772</v>
      </c>
      <c r="E52" s="150" t="s">
        <v>34</v>
      </c>
      <c r="H52" s="2" t="s">
        <v>39</v>
      </c>
      <c r="I52" s="30">
        <f>InputPage!C5</f>
        <v>10.91</v>
      </c>
      <c r="K52" s="150" t="s">
        <v>34</v>
      </c>
    </row>
    <row r="53" spans="5:11" ht="6" customHeight="1" thickBot="1">
      <c r="E53" s="150"/>
      <c r="K53" s="150"/>
    </row>
    <row r="54" spans="2:12" ht="15.75" customHeight="1" thickBot="1">
      <c r="B54" s="2" t="s">
        <v>32</v>
      </c>
      <c r="C54" s="27">
        <f>InputPage!B21</f>
        <v>1.5</v>
      </c>
      <c r="E54" s="150"/>
      <c r="F54" s="17">
        <f>$C$52+$C$54</f>
        <v>16.1586738677772</v>
      </c>
      <c r="H54" s="2" t="s">
        <v>40</v>
      </c>
      <c r="I54" s="27">
        <f>InputPage!B20</f>
        <v>0.5</v>
      </c>
      <c r="K54" s="150"/>
      <c r="L54" s="17">
        <f>$I$52-$I$54</f>
        <v>10.41</v>
      </c>
    </row>
    <row r="55" spans="5:11" ht="12.75">
      <c r="E55" s="150"/>
      <c r="K55" s="150"/>
    </row>
    <row r="56" spans="5:11" ht="12.75">
      <c r="E56" s="150"/>
      <c r="K56" s="150"/>
    </row>
    <row r="60" spans="1:8" ht="15.75">
      <c r="A60" s="142" t="s">
        <v>41</v>
      </c>
      <c r="B60" s="142"/>
      <c r="C60" s="142"/>
      <c r="D60" s="142"/>
      <c r="E60" s="142"/>
      <c r="F60" s="142"/>
      <c r="G60" s="142"/>
      <c r="H60" s="142"/>
    </row>
    <row r="61" ht="12.75">
      <c r="B61" s="18" t="s">
        <v>42</v>
      </c>
    </row>
    <row r="63" ht="12.75">
      <c r="B63" s="11" t="s">
        <v>43</v>
      </c>
    </row>
    <row r="64" ht="12.75">
      <c r="B64" s="2" t="s">
        <v>44</v>
      </c>
    </row>
    <row r="65" ht="12.75">
      <c r="B65" s="2" t="s">
        <v>45</v>
      </c>
    </row>
    <row r="67" spans="2:5" ht="15.75" customHeight="1">
      <c r="B67" s="2" t="s">
        <v>47</v>
      </c>
      <c r="C67" s="16">
        <f>$F$54</f>
        <v>16.1586738677772</v>
      </c>
      <c r="E67" s="150" t="s">
        <v>46</v>
      </c>
    </row>
    <row r="68" ht="6" customHeight="1" thickBot="1">
      <c r="E68" s="150"/>
    </row>
    <row r="69" spans="2:6" ht="15.75" customHeight="1" thickBot="1">
      <c r="B69" s="2" t="s">
        <v>48</v>
      </c>
      <c r="C69" s="16">
        <f>$L$54</f>
        <v>10.41</v>
      </c>
      <c r="E69" s="150"/>
      <c r="F69" s="38">
        <f>$F$54/$L$54</f>
        <v>1.5522261160208646</v>
      </c>
    </row>
    <row r="70" ht="12.75">
      <c r="E70" s="150"/>
    </row>
    <row r="71" spans="2:5" ht="15">
      <c r="B71" s="2" t="s">
        <v>68</v>
      </c>
      <c r="C71" s="40">
        <f>C67-C69</f>
        <v>5.7486738677772</v>
      </c>
      <c r="E71" s="150"/>
    </row>
    <row r="75" spans="1:5" ht="15.75">
      <c r="A75" s="142" t="s">
        <v>49</v>
      </c>
      <c r="B75" s="142"/>
      <c r="C75" s="142"/>
      <c r="D75" s="142"/>
      <c r="E75" s="142"/>
    </row>
    <row r="76" spans="2:4" ht="13.5" thickBot="1">
      <c r="B76" s="20" t="s">
        <v>53</v>
      </c>
      <c r="C76" s="148" t="s">
        <v>54</v>
      </c>
      <c r="D76" s="148"/>
    </row>
    <row r="77" spans="2:6" ht="12.75">
      <c r="B77" s="19"/>
      <c r="C77" s="149" t="s">
        <v>55</v>
      </c>
      <c r="D77" s="149"/>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14.6586738677772</v>
      </c>
      <c r="D87" s="9"/>
      <c r="E87" s="147" t="s">
        <v>9</v>
      </c>
    </row>
    <row r="88" spans="2:5" ht="6" customHeight="1" thickBot="1">
      <c r="B88" s="3"/>
      <c r="C88" s="3"/>
      <c r="D88" s="3"/>
      <c r="E88" s="147"/>
    </row>
    <row r="89" spans="2:7" ht="15.75" customHeight="1" thickBot="1">
      <c r="B89" s="2" t="s">
        <v>62</v>
      </c>
      <c r="C89" s="14">
        <v>639.6</v>
      </c>
      <c r="D89" s="10"/>
      <c r="E89" s="147"/>
      <c r="F89" s="8">
        <f>($C$87*($C$93/100)*($C$95/2)*($C$97*61.02))/($C$89*(460+$C$91))</f>
        <v>15.514909490279162</v>
      </c>
      <c r="G89" s="2" t="s">
        <v>10</v>
      </c>
    </row>
    <row r="90" spans="3:10" ht="6" customHeight="1">
      <c r="C90" s="3"/>
      <c r="D90" s="3"/>
      <c r="E90" s="147"/>
      <c r="F90" s="24"/>
      <c r="G90" s="24"/>
      <c r="H90" s="24"/>
      <c r="I90" s="24"/>
      <c r="J90" s="24"/>
    </row>
    <row r="91" spans="2:10" ht="15.75" customHeight="1">
      <c r="B91" s="2" t="s">
        <v>63</v>
      </c>
      <c r="C91" s="12">
        <v>130</v>
      </c>
      <c r="D91" s="10"/>
      <c r="E91" s="147"/>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E67:E71"/>
    <mergeCell ref="A75:E75"/>
    <mergeCell ref="C76:D76"/>
    <mergeCell ref="C77:D77"/>
    <mergeCell ref="E87:E91"/>
    <mergeCell ref="A45:H45"/>
    <mergeCell ref="B46:C46"/>
    <mergeCell ref="H46:I46"/>
    <mergeCell ref="E52:E56"/>
    <mergeCell ref="K52:K56"/>
    <mergeCell ref="A60:H60"/>
    <mergeCell ref="A19:H19"/>
    <mergeCell ref="C20:D20"/>
    <mergeCell ref="C21:D21"/>
    <mergeCell ref="E37:E41"/>
    <mergeCell ref="F37:F38"/>
    <mergeCell ref="F40:F41"/>
    <mergeCell ref="A3:E3"/>
    <mergeCell ref="B4:F4"/>
    <mergeCell ref="F6:K6"/>
    <mergeCell ref="F7:J7"/>
    <mergeCell ref="E10:E14"/>
    <mergeCell ref="F13:J15"/>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M98"/>
  <sheetViews>
    <sheetView zoomScalePageLayoutView="0" workbookViewId="0" topLeftCell="A17">
      <selection activeCell="J34" sqref="J34"/>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2" t="s">
        <v>50</v>
      </c>
      <c r="B3" s="142"/>
      <c r="C3" s="142"/>
      <c r="D3" s="142"/>
      <c r="E3" s="142"/>
    </row>
    <row r="4" spans="2:6" ht="12.75">
      <c r="B4" s="148" t="s">
        <v>1</v>
      </c>
      <c r="C4" s="148"/>
      <c r="D4" s="148"/>
      <c r="E4" s="148"/>
      <c r="F4" s="148"/>
    </row>
    <row r="5" ht="13.5" thickBot="1"/>
    <row r="6" spans="2:13" ht="16.5" thickBot="1">
      <c r="B6" s="2" t="s">
        <v>2</v>
      </c>
      <c r="F6" s="148" t="s">
        <v>4</v>
      </c>
      <c r="G6" s="148"/>
      <c r="H6" s="148"/>
      <c r="I6" s="148"/>
      <c r="J6" s="148"/>
      <c r="K6" s="148"/>
      <c r="L6" s="26" t="s">
        <v>67</v>
      </c>
      <c r="M6" s="35">
        <f>(C10*C14)/6</f>
        <v>12.5</v>
      </c>
    </row>
    <row r="7" spans="2:10" ht="12.75">
      <c r="B7" s="2" t="s">
        <v>3</v>
      </c>
      <c r="F7" s="148" t="s">
        <v>8</v>
      </c>
      <c r="G7" s="148"/>
      <c r="H7" s="148"/>
      <c r="I7" s="148"/>
      <c r="J7" s="148"/>
    </row>
    <row r="8" ht="12.75">
      <c r="B8" s="2" t="s">
        <v>0</v>
      </c>
    </row>
    <row r="9" ht="12.75"/>
    <row r="10" spans="2:5" ht="12.75">
      <c r="B10" s="3" t="s">
        <v>7</v>
      </c>
      <c r="C10" s="6">
        <f>InputPage!E6</f>
        <v>150</v>
      </c>
      <c r="D10" s="9"/>
      <c r="E10" s="147" t="s">
        <v>9</v>
      </c>
    </row>
    <row r="11" spans="2:5" ht="6" customHeight="1" thickBot="1">
      <c r="B11" s="3"/>
      <c r="C11" s="3"/>
      <c r="D11" s="3"/>
      <c r="E11" s="147"/>
    </row>
    <row r="12" spans="2:7" ht="21.75" thickBot="1">
      <c r="B12" s="2" t="s">
        <v>6</v>
      </c>
      <c r="C12" s="35">
        <f>InputPage!G6</f>
        <v>14.7</v>
      </c>
      <c r="D12" s="10"/>
      <c r="E12" s="147"/>
      <c r="F12" s="39">
        <f>$C$10*$C$12*($C$14/60)</f>
        <v>18.375</v>
      </c>
      <c r="G12" s="2" t="s">
        <v>10</v>
      </c>
    </row>
    <row r="13" spans="3:10" ht="6" customHeight="1">
      <c r="C13" s="36"/>
      <c r="D13" s="3"/>
      <c r="E13" s="147"/>
      <c r="F13" s="141" t="s">
        <v>26</v>
      </c>
      <c r="G13" s="141"/>
      <c r="H13" s="141"/>
      <c r="I13" s="141"/>
      <c r="J13" s="141"/>
    </row>
    <row r="14" spans="2:10" ht="16.5" thickBot="1">
      <c r="B14" s="2" t="s">
        <v>5</v>
      </c>
      <c r="C14" s="37">
        <f>InputPage!F6</f>
        <v>0.5</v>
      </c>
      <c r="D14" s="10"/>
      <c r="E14" s="147"/>
      <c r="F14" s="141"/>
      <c r="G14" s="141"/>
      <c r="H14" s="141"/>
      <c r="I14" s="141"/>
      <c r="J14" s="141"/>
    </row>
    <row r="15" spans="6:10" ht="12.75">
      <c r="F15" s="141"/>
      <c r="G15" s="141"/>
      <c r="H15" s="141"/>
      <c r="I15" s="141"/>
      <c r="J15" s="141"/>
    </row>
    <row r="16" spans="2:4" ht="15.75">
      <c r="B16" s="5"/>
      <c r="C16" s="7"/>
      <c r="D16" s="7"/>
    </row>
    <row r="17" ht="12.75"/>
    <row r="18" ht="12.75"/>
    <row r="19" spans="1:8" ht="15.75">
      <c r="A19" s="142" t="s">
        <v>11</v>
      </c>
      <c r="B19" s="142"/>
      <c r="C19" s="142"/>
      <c r="D19" s="142"/>
      <c r="E19" s="142"/>
      <c r="F19" s="142"/>
      <c r="G19" s="142"/>
      <c r="H19" s="142"/>
    </row>
    <row r="20" spans="2:4" ht="13.5" thickBot="1">
      <c r="B20" s="11" t="s">
        <v>12</v>
      </c>
      <c r="C20" s="152" t="s">
        <v>51</v>
      </c>
      <c r="D20" s="152"/>
    </row>
    <row r="21" spans="3:4" ht="12.75">
      <c r="C21" s="149" t="s">
        <v>52</v>
      </c>
      <c r="D21" s="149"/>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18.375</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InputPage!I6</f>
        <v>118.15</v>
      </c>
    </row>
    <row r="36" ht="6" customHeight="1" thickBot="1">
      <c r="C36" s="32"/>
    </row>
    <row r="37" spans="2:6" ht="12.75" customHeight="1">
      <c r="B37" s="2" t="s">
        <v>21</v>
      </c>
      <c r="C37" s="33">
        <f>InputPage!B16</f>
        <v>95</v>
      </c>
      <c r="E37" s="151" t="s">
        <v>25</v>
      </c>
      <c r="F37" s="143">
        <f>($C$31*$C$33*(460+$C$35))/(($C$37/100)*($C$39/2)*($C$41*61.02))</f>
        <v>17.012232221060245</v>
      </c>
    </row>
    <row r="38" spans="3:6" ht="6" customHeight="1" thickBot="1">
      <c r="C38" s="32"/>
      <c r="E38" s="151"/>
      <c r="F38" s="144"/>
    </row>
    <row r="39" spans="2:6" ht="16.5" thickBot="1">
      <c r="B39" s="2" t="s">
        <v>20</v>
      </c>
      <c r="C39" s="34">
        <f>InputPage!D6</f>
        <v>5300</v>
      </c>
      <c r="E39" s="151"/>
      <c r="F39" s="15"/>
    </row>
    <row r="40" spans="3:6" ht="6" customHeight="1">
      <c r="C40" s="29"/>
      <c r="E40" s="151"/>
      <c r="F40" s="145">
        <f>($C$31*$C$33*(460+$C$35))/(($C$37/100)*($C$39/2)*($C$41*61.02))-I52</f>
        <v>6.102232221060245</v>
      </c>
    </row>
    <row r="41" spans="2:6" ht="15.75" customHeight="1" thickBot="1">
      <c r="B41" s="2" t="s">
        <v>19</v>
      </c>
      <c r="C41" s="28">
        <f>InputPage!B15</f>
        <v>2.6</v>
      </c>
      <c r="E41" s="151"/>
      <c r="F41" s="146"/>
    </row>
    <row r="42" ht="12.75"/>
    <row r="43" ht="12.75"/>
    <row r="44" ht="12.75"/>
    <row r="45" spans="1:8" ht="15.75">
      <c r="A45" s="142" t="s">
        <v>33</v>
      </c>
      <c r="B45" s="142"/>
      <c r="C45" s="142"/>
      <c r="D45" s="142"/>
      <c r="E45" s="142"/>
      <c r="F45" s="142"/>
      <c r="G45" s="142"/>
      <c r="H45" s="142"/>
    </row>
    <row r="46" spans="2:9" ht="12.75">
      <c r="B46" s="140" t="s">
        <v>29</v>
      </c>
      <c r="C46" s="140"/>
      <c r="H46" s="140" t="s">
        <v>35</v>
      </c>
      <c r="I46" s="140"/>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17.012232221060245</v>
      </c>
      <c r="E52" s="150" t="s">
        <v>34</v>
      </c>
      <c r="H52" s="2" t="s">
        <v>39</v>
      </c>
      <c r="I52" s="30">
        <f>InputPage!C6</f>
        <v>10.91</v>
      </c>
      <c r="K52" s="150" t="s">
        <v>34</v>
      </c>
    </row>
    <row r="53" spans="5:11" ht="6" customHeight="1" thickBot="1">
      <c r="E53" s="150"/>
      <c r="K53" s="150"/>
    </row>
    <row r="54" spans="2:12" ht="15.75" customHeight="1" thickBot="1">
      <c r="B54" s="2" t="s">
        <v>32</v>
      </c>
      <c r="C54" s="27">
        <f>InputPage!B21</f>
        <v>1.5</v>
      </c>
      <c r="E54" s="150"/>
      <c r="F54" s="17">
        <f>$C$52+$C$54</f>
        <v>18.512232221060245</v>
      </c>
      <c r="H54" s="2" t="s">
        <v>40</v>
      </c>
      <c r="I54" s="27">
        <f>InputPage!B20</f>
        <v>0.5</v>
      </c>
      <c r="K54" s="150"/>
      <c r="L54" s="17">
        <f>$I$52-$I$54</f>
        <v>10.41</v>
      </c>
    </row>
    <row r="55" spans="5:11" ht="12.75">
      <c r="E55" s="150"/>
      <c r="K55" s="150"/>
    </row>
    <row r="56" spans="5:11" ht="12.75">
      <c r="E56" s="150"/>
      <c r="K56" s="150"/>
    </row>
    <row r="60" spans="1:8" ht="15.75">
      <c r="A60" s="142" t="s">
        <v>41</v>
      </c>
      <c r="B60" s="142"/>
      <c r="C60" s="142"/>
      <c r="D60" s="142"/>
      <c r="E60" s="142"/>
      <c r="F60" s="142"/>
      <c r="G60" s="142"/>
      <c r="H60" s="142"/>
    </row>
    <row r="61" ht="12.75">
      <c r="B61" s="18" t="s">
        <v>42</v>
      </c>
    </row>
    <row r="63" ht="12.75">
      <c r="B63" s="11" t="s">
        <v>43</v>
      </c>
    </row>
    <row r="64" ht="12.75">
      <c r="B64" s="2" t="s">
        <v>44</v>
      </c>
    </row>
    <row r="65" ht="12.75">
      <c r="B65" s="2" t="s">
        <v>45</v>
      </c>
    </row>
    <row r="67" spans="2:5" ht="15.75" customHeight="1">
      <c r="B67" s="2" t="s">
        <v>47</v>
      </c>
      <c r="C67" s="16">
        <f>$F$54</f>
        <v>18.512232221060245</v>
      </c>
      <c r="E67" s="150" t="s">
        <v>46</v>
      </c>
    </row>
    <row r="68" ht="6" customHeight="1" thickBot="1">
      <c r="E68" s="150"/>
    </row>
    <row r="69" spans="2:6" ht="15.75" customHeight="1" thickBot="1">
      <c r="B69" s="2" t="s">
        <v>48</v>
      </c>
      <c r="C69" s="16">
        <f>$L$54</f>
        <v>10.41</v>
      </c>
      <c r="E69" s="150"/>
      <c r="F69" s="38">
        <f>$F$54/$L$54</f>
        <v>1.7783124131662098</v>
      </c>
    </row>
    <row r="70" ht="12.75">
      <c r="E70" s="150"/>
    </row>
    <row r="71" spans="2:5" ht="15">
      <c r="B71" s="2" t="s">
        <v>68</v>
      </c>
      <c r="C71" s="40">
        <f>C67-C69</f>
        <v>8.102232221060245</v>
      </c>
      <c r="E71" s="150"/>
    </row>
    <row r="75" spans="1:5" ht="15.75">
      <c r="A75" s="142" t="s">
        <v>49</v>
      </c>
      <c r="B75" s="142"/>
      <c r="C75" s="142"/>
      <c r="D75" s="142"/>
      <c r="E75" s="142"/>
    </row>
    <row r="76" spans="2:4" ht="13.5" thickBot="1">
      <c r="B76" s="20" t="s">
        <v>53</v>
      </c>
      <c r="C76" s="148" t="s">
        <v>54</v>
      </c>
      <c r="D76" s="148"/>
    </row>
    <row r="77" spans="2:6" ht="12.75">
      <c r="B77" s="19"/>
      <c r="C77" s="149" t="s">
        <v>55</v>
      </c>
      <c r="D77" s="149"/>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17.012232221060245</v>
      </c>
      <c r="D87" s="9"/>
      <c r="E87" s="147" t="s">
        <v>9</v>
      </c>
    </row>
    <row r="88" spans="2:5" ht="6" customHeight="1" thickBot="1">
      <c r="B88" s="3"/>
      <c r="C88" s="3"/>
      <c r="D88" s="3"/>
      <c r="E88" s="147"/>
    </row>
    <row r="89" spans="2:7" ht="15.75" customHeight="1" thickBot="1">
      <c r="B89" s="2" t="s">
        <v>62</v>
      </c>
      <c r="C89" s="14">
        <v>639.6</v>
      </c>
      <c r="D89" s="10"/>
      <c r="E89" s="147"/>
      <c r="F89" s="8">
        <f>($C$87*($C$93/100)*($C$95/2)*($C$97*61.02))/($C$89*(460+$C$91))</f>
        <v>18.005942796610167</v>
      </c>
      <c r="G89" s="2" t="s">
        <v>10</v>
      </c>
    </row>
    <row r="90" spans="3:10" ht="6" customHeight="1">
      <c r="C90" s="3"/>
      <c r="D90" s="3"/>
      <c r="E90" s="147"/>
      <c r="F90" s="24"/>
      <c r="G90" s="24"/>
      <c r="H90" s="24"/>
      <c r="I90" s="24"/>
      <c r="J90" s="24"/>
    </row>
    <row r="91" spans="2:10" ht="15.75" customHeight="1">
      <c r="B91" s="2" t="s">
        <v>63</v>
      </c>
      <c r="C91" s="12">
        <v>130</v>
      </c>
      <c r="D91" s="10"/>
      <c r="E91" s="147"/>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E67:E71"/>
    <mergeCell ref="A75:E75"/>
    <mergeCell ref="C76:D76"/>
    <mergeCell ref="C77:D77"/>
    <mergeCell ref="E87:E91"/>
    <mergeCell ref="A45:H45"/>
    <mergeCell ref="B46:C46"/>
    <mergeCell ref="H46:I46"/>
    <mergeCell ref="E52:E56"/>
    <mergeCell ref="K52:K56"/>
    <mergeCell ref="A60:H60"/>
    <mergeCell ref="A19:H19"/>
    <mergeCell ref="C20:D20"/>
    <mergeCell ref="C21:D21"/>
    <mergeCell ref="E37:E41"/>
    <mergeCell ref="F37:F38"/>
    <mergeCell ref="F40:F41"/>
    <mergeCell ref="A3:E3"/>
    <mergeCell ref="B4:F4"/>
    <mergeCell ref="F6:K6"/>
    <mergeCell ref="F7:J7"/>
    <mergeCell ref="E10:E14"/>
    <mergeCell ref="F13:J15"/>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codeName="Sheet6"/>
  <dimension ref="A1:M98"/>
  <sheetViews>
    <sheetView zoomScalePageLayoutView="0" workbookViewId="0" topLeftCell="A17">
      <selection activeCell="J34" sqref="J34"/>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2" t="s">
        <v>50</v>
      </c>
      <c r="B3" s="142"/>
      <c r="C3" s="142"/>
      <c r="D3" s="142"/>
      <c r="E3" s="142"/>
    </row>
    <row r="4" spans="2:6" ht="12.75">
      <c r="B4" s="148" t="s">
        <v>1</v>
      </c>
      <c r="C4" s="148"/>
      <c r="D4" s="148"/>
      <c r="E4" s="148"/>
      <c r="F4" s="148"/>
    </row>
    <row r="5" ht="13.5" thickBot="1"/>
    <row r="6" spans="2:13" ht="16.5" thickBot="1">
      <c r="B6" s="2" t="s">
        <v>2</v>
      </c>
      <c r="F6" s="148" t="s">
        <v>4</v>
      </c>
      <c r="G6" s="148"/>
      <c r="H6" s="148"/>
      <c r="I6" s="148"/>
      <c r="J6" s="148"/>
      <c r="K6" s="148"/>
      <c r="L6" s="26" t="s">
        <v>67</v>
      </c>
      <c r="M6" s="35">
        <f>(C10*C14)/6</f>
        <v>10.183333333333332</v>
      </c>
    </row>
    <row r="7" spans="2:10" ht="12.75">
      <c r="B7" s="2" t="s">
        <v>3</v>
      </c>
      <c r="F7" s="148" t="s">
        <v>8</v>
      </c>
      <c r="G7" s="148"/>
      <c r="H7" s="148"/>
      <c r="I7" s="148"/>
      <c r="J7" s="148"/>
    </row>
    <row r="8" ht="12.75">
      <c r="B8" s="2" t="s">
        <v>0</v>
      </c>
    </row>
    <row r="9" ht="12.75"/>
    <row r="10" spans="2:5" ht="12.75">
      <c r="B10" s="3" t="s">
        <v>7</v>
      </c>
      <c r="C10" s="6">
        <f>InputPage!E7</f>
        <v>130</v>
      </c>
      <c r="D10" s="9"/>
      <c r="E10" s="147" t="s">
        <v>9</v>
      </c>
    </row>
    <row r="11" spans="2:5" ht="6" customHeight="1" thickBot="1">
      <c r="B11" s="3"/>
      <c r="C11" s="3"/>
      <c r="D11" s="3"/>
      <c r="E11" s="147"/>
    </row>
    <row r="12" spans="2:7" ht="21.75" thickBot="1">
      <c r="B12" s="2" t="s">
        <v>6</v>
      </c>
      <c r="C12" s="35">
        <f>InputPage!G7</f>
        <v>15.5</v>
      </c>
      <c r="D12" s="10"/>
      <c r="E12" s="147"/>
      <c r="F12" s="39">
        <f>$C$10*$C$12*($C$14/60)</f>
        <v>15.784166666666666</v>
      </c>
      <c r="G12" s="2" t="s">
        <v>10</v>
      </c>
    </row>
    <row r="13" spans="3:10" ht="6" customHeight="1">
      <c r="C13" s="36"/>
      <c r="D13" s="3"/>
      <c r="E13" s="147"/>
      <c r="F13" s="141" t="s">
        <v>26</v>
      </c>
      <c r="G13" s="141"/>
      <c r="H13" s="141"/>
      <c r="I13" s="141"/>
      <c r="J13" s="141"/>
    </row>
    <row r="14" spans="2:10" ht="16.5" thickBot="1">
      <c r="B14" s="2" t="s">
        <v>5</v>
      </c>
      <c r="C14" s="37">
        <f>InputPage!F7</f>
        <v>0.47</v>
      </c>
      <c r="D14" s="10"/>
      <c r="E14" s="147"/>
      <c r="F14" s="141"/>
      <c r="G14" s="141"/>
      <c r="H14" s="141"/>
      <c r="I14" s="141"/>
      <c r="J14" s="141"/>
    </row>
    <row r="15" spans="6:10" ht="12.75">
      <c r="F15" s="141"/>
      <c r="G15" s="141"/>
      <c r="H15" s="141"/>
      <c r="I15" s="141"/>
      <c r="J15" s="141"/>
    </row>
    <row r="16" spans="2:4" ht="15.75">
      <c r="B16" s="5"/>
      <c r="C16" s="7"/>
      <c r="D16" s="7"/>
    </row>
    <row r="17" ht="12.75"/>
    <row r="18" ht="12.75"/>
    <row r="19" spans="1:8" ht="15.75">
      <c r="A19" s="142" t="s">
        <v>11</v>
      </c>
      <c r="B19" s="142"/>
      <c r="C19" s="142"/>
      <c r="D19" s="142"/>
      <c r="E19" s="142"/>
      <c r="F19" s="142"/>
      <c r="G19" s="142"/>
      <c r="H19" s="142"/>
    </row>
    <row r="20" spans="2:4" ht="13.5" thickBot="1">
      <c r="B20" s="11" t="s">
        <v>12</v>
      </c>
      <c r="C20" s="152" t="s">
        <v>51</v>
      </c>
      <c r="D20" s="152"/>
    </row>
    <row r="21" spans="3:4" ht="12.75">
      <c r="C21" s="149" t="s">
        <v>52</v>
      </c>
      <c r="D21" s="149"/>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15.784166666666666</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InputPage!I7</f>
        <v>114.63</v>
      </c>
    </row>
    <row r="36" ht="6" customHeight="1" thickBot="1">
      <c r="C36" s="32"/>
    </row>
    <row r="37" spans="2:6" ht="12.75" customHeight="1">
      <c r="B37" s="2" t="s">
        <v>21</v>
      </c>
      <c r="C37" s="33">
        <f>InputPage!B16</f>
        <v>95</v>
      </c>
      <c r="E37" s="151" t="s">
        <v>25</v>
      </c>
      <c r="F37" s="143">
        <f>($C$31*$C$33*(460+$C$35))/(($C$37/100)*($C$39/2)*($C$41*61.02))</f>
        <v>16.037549524674105</v>
      </c>
    </row>
    <row r="38" spans="3:6" ht="6" customHeight="1" thickBot="1">
      <c r="C38" s="32"/>
      <c r="E38" s="151"/>
      <c r="F38" s="144"/>
    </row>
    <row r="39" spans="2:6" ht="16.5" thickBot="1">
      <c r="B39" s="2" t="s">
        <v>20</v>
      </c>
      <c r="C39" s="34">
        <f>InputPage!D7</f>
        <v>4800</v>
      </c>
      <c r="E39" s="151"/>
      <c r="F39" s="15"/>
    </row>
    <row r="40" spans="3:6" ht="6" customHeight="1">
      <c r="C40" s="29"/>
      <c r="E40" s="151"/>
      <c r="F40" s="145">
        <f>($C$31*$C$33*(460+$C$35))/(($C$37/100)*($C$39/2)*($C$41*61.02))-I52</f>
        <v>5.127549524674105</v>
      </c>
    </row>
    <row r="41" spans="2:6" ht="15.75" customHeight="1" thickBot="1">
      <c r="B41" s="2" t="s">
        <v>19</v>
      </c>
      <c r="C41" s="28">
        <f>InputPage!B15</f>
        <v>2.6</v>
      </c>
      <c r="E41" s="151"/>
      <c r="F41" s="146"/>
    </row>
    <row r="42" ht="12.75"/>
    <row r="43" ht="12.75"/>
    <row r="44" ht="12.75"/>
    <row r="45" spans="1:8" ht="15.75">
      <c r="A45" s="142" t="s">
        <v>33</v>
      </c>
      <c r="B45" s="142"/>
      <c r="C45" s="142"/>
      <c r="D45" s="142"/>
      <c r="E45" s="142"/>
      <c r="F45" s="142"/>
      <c r="G45" s="142"/>
      <c r="H45" s="142"/>
    </row>
    <row r="46" spans="2:9" ht="12.75">
      <c r="B46" s="140" t="s">
        <v>29</v>
      </c>
      <c r="C46" s="140"/>
      <c r="H46" s="140" t="s">
        <v>35</v>
      </c>
      <c r="I46" s="140"/>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16.037549524674105</v>
      </c>
      <c r="E52" s="150" t="s">
        <v>34</v>
      </c>
      <c r="H52" s="2" t="s">
        <v>39</v>
      </c>
      <c r="I52" s="30">
        <f>InputPage!C7</f>
        <v>10.91</v>
      </c>
      <c r="K52" s="150" t="s">
        <v>34</v>
      </c>
    </row>
    <row r="53" spans="5:11" ht="6" customHeight="1" thickBot="1">
      <c r="E53" s="150"/>
      <c r="K53" s="150"/>
    </row>
    <row r="54" spans="2:12" ht="15.75" customHeight="1" thickBot="1">
      <c r="B54" s="2" t="s">
        <v>32</v>
      </c>
      <c r="C54" s="27">
        <f>InputPage!B21</f>
        <v>1.5</v>
      </c>
      <c r="E54" s="150"/>
      <c r="F54" s="17">
        <f>$C$52+$C$54</f>
        <v>17.537549524674105</v>
      </c>
      <c r="H54" s="2" t="s">
        <v>40</v>
      </c>
      <c r="I54" s="27">
        <f>InputPage!B20</f>
        <v>0.5</v>
      </c>
      <c r="K54" s="150"/>
      <c r="L54" s="17">
        <f>$I$52-$I$54</f>
        <v>10.41</v>
      </c>
    </row>
    <row r="55" spans="5:11" ht="12.75">
      <c r="E55" s="150"/>
      <c r="K55" s="150"/>
    </row>
    <row r="56" spans="5:11" ht="12.75">
      <c r="E56" s="150"/>
      <c r="K56" s="150"/>
    </row>
    <row r="60" spans="1:8" ht="15.75">
      <c r="A60" s="142" t="s">
        <v>41</v>
      </c>
      <c r="B60" s="142"/>
      <c r="C60" s="142"/>
      <c r="D60" s="142"/>
      <c r="E60" s="142"/>
      <c r="F60" s="142"/>
      <c r="G60" s="142"/>
      <c r="H60" s="142"/>
    </row>
    <row r="61" ht="12.75">
      <c r="B61" s="18" t="s">
        <v>42</v>
      </c>
    </row>
    <row r="63" ht="12.75">
      <c r="B63" s="11" t="s">
        <v>43</v>
      </c>
    </row>
    <row r="64" ht="12.75">
      <c r="B64" s="2" t="s">
        <v>44</v>
      </c>
    </row>
    <row r="65" ht="12.75">
      <c r="B65" s="2" t="s">
        <v>45</v>
      </c>
    </row>
    <row r="67" spans="2:5" ht="15.75" customHeight="1">
      <c r="B67" s="2" t="s">
        <v>47</v>
      </c>
      <c r="C67" s="16">
        <f>$F$54</f>
        <v>17.537549524674105</v>
      </c>
      <c r="E67" s="150" t="s">
        <v>46</v>
      </c>
    </row>
    <row r="68" ht="6" customHeight="1" thickBot="1">
      <c r="E68" s="150"/>
    </row>
    <row r="69" spans="2:6" ht="15.75" customHeight="1" thickBot="1">
      <c r="B69" s="2" t="s">
        <v>48</v>
      </c>
      <c r="C69" s="16">
        <f>$L$54</f>
        <v>10.41</v>
      </c>
      <c r="E69" s="150"/>
      <c r="F69" s="38">
        <f>$F$54/$L$54</f>
        <v>1.684682951457647</v>
      </c>
    </row>
    <row r="70" ht="12.75">
      <c r="E70" s="150"/>
    </row>
    <row r="71" spans="2:5" ht="15">
      <c r="B71" s="2" t="s">
        <v>68</v>
      </c>
      <c r="C71" s="40">
        <f>C67-C69</f>
        <v>7.127549524674105</v>
      </c>
      <c r="E71" s="150"/>
    </row>
    <row r="75" spans="1:5" ht="15.75">
      <c r="A75" s="142" t="s">
        <v>49</v>
      </c>
      <c r="B75" s="142"/>
      <c r="C75" s="142"/>
      <c r="D75" s="142"/>
      <c r="E75" s="142"/>
    </row>
    <row r="76" spans="2:4" ht="13.5" thickBot="1">
      <c r="B76" s="20" t="s">
        <v>53</v>
      </c>
      <c r="C76" s="148" t="s">
        <v>54</v>
      </c>
      <c r="D76" s="148"/>
    </row>
    <row r="77" spans="2:6" ht="12.75">
      <c r="B77" s="19"/>
      <c r="C77" s="149" t="s">
        <v>55</v>
      </c>
      <c r="D77" s="149"/>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16.037549524674105</v>
      </c>
      <c r="D87" s="9"/>
      <c r="E87" s="147" t="s">
        <v>9</v>
      </c>
    </row>
    <row r="88" spans="2:5" ht="6" customHeight="1" thickBot="1">
      <c r="B88" s="3"/>
      <c r="C88" s="3"/>
      <c r="D88" s="3"/>
      <c r="E88" s="147"/>
    </row>
    <row r="89" spans="2:7" ht="15.75" customHeight="1" thickBot="1">
      <c r="B89" s="2" t="s">
        <v>62</v>
      </c>
      <c r="C89" s="14">
        <v>639.6</v>
      </c>
      <c r="D89" s="10"/>
      <c r="E89" s="147"/>
      <c r="F89" s="8">
        <f>($C$87*($C$93/100)*($C$95/2)*($C$97*61.02))/($C$89*(460+$C$91))</f>
        <v>16.97432738906544</v>
      </c>
      <c r="G89" s="2" t="s">
        <v>10</v>
      </c>
    </row>
    <row r="90" spans="3:10" ht="6" customHeight="1">
      <c r="C90" s="3"/>
      <c r="D90" s="3"/>
      <c r="E90" s="147"/>
      <c r="F90" s="24"/>
      <c r="G90" s="24"/>
      <c r="H90" s="24"/>
      <c r="I90" s="24"/>
      <c r="J90" s="24"/>
    </row>
    <row r="91" spans="2:10" ht="15.75" customHeight="1">
      <c r="B91" s="2" t="s">
        <v>63</v>
      </c>
      <c r="C91" s="12">
        <v>130</v>
      </c>
      <c r="D91" s="10"/>
      <c r="E91" s="147"/>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A3:E3"/>
    <mergeCell ref="B4:F4"/>
    <mergeCell ref="F6:K6"/>
    <mergeCell ref="F7:J7"/>
    <mergeCell ref="E10:E14"/>
    <mergeCell ref="F13:J15"/>
    <mergeCell ref="K52:K56"/>
    <mergeCell ref="A60:H60"/>
    <mergeCell ref="A19:H19"/>
    <mergeCell ref="C20:D20"/>
    <mergeCell ref="C21:D21"/>
    <mergeCell ref="E37:E41"/>
    <mergeCell ref="F37:F38"/>
    <mergeCell ref="F40:F41"/>
    <mergeCell ref="E67:E71"/>
    <mergeCell ref="A75:E75"/>
    <mergeCell ref="C76:D76"/>
    <mergeCell ref="C77:D77"/>
    <mergeCell ref="E87:E91"/>
    <mergeCell ref="A45:H45"/>
    <mergeCell ref="B46:C46"/>
    <mergeCell ref="H46:I46"/>
    <mergeCell ref="E52:E56"/>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7"/>
  <dimension ref="A1:M98"/>
  <sheetViews>
    <sheetView zoomScalePageLayoutView="0" workbookViewId="0" topLeftCell="A17">
      <selection activeCell="J34" sqref="J34"/>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2" t="s">
        <v>50</v>
      </c>
      <c r="B3" s="142"/>
      <c r="C3" s="142"/>
      <c r="D3" s="142"/>
      <c r="E3" s="142"/>
    </row>
    <row r="4" spans="2:6" ht="12.75">
      <c r="B4" s="148" t="s">
        <v>1</v>
      </c>
      <c r="C4" s="148"/>
      <c r="D4" s="148"/>
      <c r="E4" s="148"/>
      <c r="F4" s="148"/>
    </row>
    <row r="5" ht="13.5" thickBot="1"/>
    <row r="6" spans="2:13" ht="16.5" thickBot="1">
      <c r="B6" s="2" t="s">
        <v>2</v>
      </c>
      <c r="F6" s="148" t="s">
        <v>4</v>
      </c>
      <c r="G6" s="148"/>
      <c r="H6" s="148"/>
      <c r="I6" s="148"/>
      <c r="J6" s="148"/>
      <c r="K6" s="148"/>
      <c r="L6" s="26" t="s">
        <v>67</v>
      </c>
      <c r="M6" s="35">
        <f>(C10*C14)/6</f>
        <v>8.616666666666665</v>
      </c>
    </row>
    <row r="7" spans="2:10" ht="12.75">
      <c r="B7" s="2" t="s">
        <v>3</v>
      </c>
      <c r="F7" s="148" t="s">
        <v>8</v>
      </c>
      <c r="G7" s="148"/>
      <c r="H7" s="148"/>
      <c r="I7" s="148"/>
      <c r="J7" s="148"/>
    </row>
    <row r="8" ht="12.75">
      <c r="B8" s="2" t="s">
        <v>0</v>
      </c>
    </row>
    <row r="9" ht="12.75"/>
    <row r="10" spans="2:5" ht="12.75">
      <c r="B10" s="3" t="s">
        <v>7</v>
      </c>
      <c r="C10" s="6">
        <f>InputPage!E8</f>
        <v>110</v>
      </c>
      <c r="D10" s="9"/>
      <c r="E10" s="147" t="s">
        <v>9</v>
      </c>
    </row>
    <row r="11" spans="2:5" ht="6" customHeight="1" thickBot="1">
      <c r="B11" s="3"/>
      <c r="C11" s="3"/>
      <c r="D11" s="3"/>
      <c r="E11" s="147"/>
    </row>
    <row r="12" spans="2:7" ht="21.75" thickBot="1">
      <c r="B12" s="2" t="s">
        <v>6</v>
      </c>
      <c r="C12" s="35">
        <f>InputPage!G8</f>
        <v>15.5</v>
      </c>
      <c r="D12" s="10"/>
      <c r="E12" s="147"/>
      <c r="F12" s="39">
        <f>$C$10*$C$12*($C$14/60)</f>
        <v>13.355833333333333</v>
      </c>
      <c r="G12" s="2" t="s">
        <v>10</v>
      </c>
    </row>
    <row r="13" spans="3:10" ht="6" customHeight="1">
      <c r="C13" s="36"/>
      <c r="D13" s="3"/>
      <c r="E13" s="147"/>
      <c r="F13" s="141" t="s">
        <v>26</v>
      </c>
      <c r="G13" s="141"/>
      <c r="H13" s="141"/>
      <c r="I13" s="141"/>
      <c r="J13" s="141"/>
    </row>
    <row r="14" spans="2:10" ht="16.5" thickBot="1">
      <c r="B14" s="2" t="s">
        <v>5</v>
      </c>
      <c r="C14" s="37">
        <f>InputPage!F8</f>
        <v>0.47</v>
      </c>
      <c r="D14" s="10"/>
      <c r="E14" s="147"/>
      <c r="F14" s="141"/>
      <c r="G14" s="141"/>
      <c r="H14" s="141"/>
      <c r="I14" s="141"/>
      <c r="J14" s="141"/>
    </row>
    <row r="15" spans="6:10" ht="12.75">
      <c r="F15" s="141"/>
      <c r="G15" s="141"/>
      <c r="H15" s="141"/>
      <c r="I15" s="141"/>
      <c r="J15" s="141"/>
    </row>
    <row r="16" spans="2:4" ht="15.75">
      <c r="B16" s="5"/>
      <c r="C16" s="7"/>
      <c r="D16" s="7"/>
    </row>
    <row r="17" ht="12.75"/>
    <row r="18" ht="12.75"/>
    <row r="19" spans="1:8" ht="15.75">
      <c r="A19" s="142" t="s">
        <v>11</v>
      </c>
      <c r="B19" s="142"/>
      <c r="C19" s="142"/>
      <c r="D19" s="142"/>
      <c r="E19" s="142"/>
      <c r="F19" s="142"/>
      <c r="G19" s="142"/>
      <c r="H19" s="142"/>
    </row>
    <row r="20" spans="2:4" ht="13.5" thickBot="1">
      <c r="B20" s="11" t="s">
        <v>12</v>
      </c>
      <c r="C20" s="152" t="s">
        <v>51</v>
      </c>
      <c r="D20" s="152"/>
    </row>
    <row r="21" spans="3:4" ht="12.75">
      <c r="C21" s="149" t="s">
        <v>52</v>
      </c>
      <c r="D21" s="149"/>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13.355833333333333</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InputPage!I8</f>
        <v>107.08</v>
      </c>
    </row>
    <row r="36" ht="6" customHeight="1" thickBot="1">
      <c r="C36" s="32"/>
    </row>
    <row r="37" spans="2:6" ht="12.75" customHeight="1">
      <c r="B37" s="2" t="s">
        <v>21</v>
      </c>
      <c r="C37" s="33">
        <f>InputPage!B16</f>
        <v>95</v>
      </c>
      <c r="E37" s="151" t="s">
        <v>25</v>
      </c>
      <c r="F37" s="143">
        <f>($C$31*$C$33*(460+$C$35))/(($C$37/100)*($C$39/2)*($C$41*61.02))</f>
        <v>13.391936407102644</v>
      </c>
    </row>
    <row r="38" spans="3:6" ht="6" customHeight="1" thickBot="1">
      <c r="C38" s="32"/>
      <c r="E38" s="151"/>
      <c r="F38" s="144"/>
    </row>
    <row r="39" spans="2:6" ht="16.5" thickBot="1">
      <c r="B39" s="2" t="s">
        <v>20</v>
      </c>
      <c r="C39" s="34">
        <f>InputPage!D8</f>
        <v>4800</v>
      </c>
      <c r="E39" s="151"/>
      <c r="F39" s="15"/>
    </row>
    <row r="40" spans="3:6" ht="6" customHeight="1">
      <c r="C40" s="29"/>
      <c r="E40" s="151"/>
      <c r="F40" s="145">
        <f>($C$31*$C$33*(460+$C$35))/(($C$37/100)*($C$39/2)*($C$41*61.02))-I52</f>
        <v>4.0519364071026445</v>
      </c>
    </row>
    <row r="41" spans="2:6" ht="15.75" customHeight="1" thickBot="1">
      <c r="B41" s="2" t="s">
        <v>19</v>
      </c>
      <c r="C41" s="28">
        <f>InputPage!B15</f>
        <v>2.6</v>
      </c>
      <c r="E41" s="151"/>
      <c r="F41" s="146"/>
    </row>
    <row r="42" ht="12.75"/>
    <row r="43" ht="12.75"/>
    <row r="44" ht="12.75"/>
    <row r="45" spans="1:8" ht="15.75">
      <c r="A45" s="142" t="s">
        <v>33</v>
      </c>
      <c r="B45" s="142"/>
      <c r="C45" s="142"/>
      <c r="D45" s="142"/>
      <c r="E45" s="142"/>
      <c r="F45" s="142"/>
      <c r="G45" s="142"/>
      <c r="H45" s="142"/>
    </row>
    <row r="46" spans="2:9" ht="12.75">
      <c r="B46" s="140" t="s">
        <v>29</v>
      </c>
      <c r="C46" s="140"/>
      <c r="H46" s="140" t="s">
        <v>35</v>
      </c>
      <c r="I46" s="140"/>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13.391936407102644</v>
      </c>
      <c r="E52" s="150" t="s">
        <v>34</v>
      </c>
      <c r="H52" s="2" t="s">
        <v>39</v>
      </c>
      <c r="I52" s="30">
        <f>InputPage!C8</f>
        <v>9.34</v>
      </c>
      <c r="K52" s="150" t="s">
        <v>34</v>
      </c>
    </row>
    <row r="53" spans="5:11" ht="6" customHeight="1" thickBot="1">
      <c r="E53" s="150"/>
      <c r="K53" s="150"/>
    </row>
    <row r="54" spans="2:12" ht="15.75" customHeight="1" thickBot="1">
      <c r="B54" s="2" t="s">
        <v>32</v>
      </c>
      <c r="C54" s="27">
        <f>InputPage!B21</f>
        <v>1.5</v>
      </c>
      <c r="E54" s="150"/>
      <c r="F54" s="17">
        <f>$C$52+$C$54</f>
        <v>14.891936407102644</v>
      </c>
      <c r="H54" s="2" t="s">
        <v>40</v>
      </c>
      <c r="I54" s="27">
        <f>InputPage!B20</f>
        <v>0.5</v>
      </c>
      <c r="K54" s="150"/>
      <c r="L54" s="17">
        <f>$I$52-$I$54</f>
        <v>8.84</v>
      </c>
    </row>
    <row r="55" spans="5:11" ht="12.75">
      <c r="E55" s="150"/>
      <c r="K55" s="150"/>
    </row>
    <row r="56" spans="5:11" ht="12.75">
      <c r="E56" s="150"/>
      <c r="K56" s="150"/>
    </row>
    <row r="60" spans="1:8" ht="15.75">
      <c r="A60" s="142" t="s">
        <v>41</v>
      </c>
      <c r="B60" s="142"/>
      <c r="C60" s="142"/>
      <c r="D60" s="142"/>
      <c r="E60" s="142"/>
      <c r="F60" s="142"/>
      <c r="G60" s="142"/>
      <c r="H60" s="142"/>
    </row>
    <row r="61" ht="12.75">
      <c r="B61" s="18" t="s">
        <v>42</v>
      </c>
    </row>
    <row r="63" ht="12.75">
      <c r="B63" s="11" t="s">
        <v>43</v>
      </c>
    </row>
    <row r="64" ht="12.75">
      <c r="B64" s="2" t="s">
        <v>44</v>
      </c>
    </row>
    <row r="65" ht="12.75">
      <c r="B65" s="2" t="s">
        <v>45</v>
      </c>
    </row>
    <row r="67" spans="2:5" ht="15.75" customHeight="1">
      <c r="B67" s="2" t="s">
        <v>47</v>
      </c>
      <c r="C67" s="16">
        <f>$F$54</f>
        <v>14.891936407102644</v>
      </c>
      <c r="E67" s="150" t="s">
        <v>46</v>
      </c>
    </row>
    <row r="68" ht="6" customHeight="1" thickBot="1">
      <c r="E68" s="150"/>
    </row>
    <row r="69" spans="2:6" ht="15.75" customHeight="1" thickBot="1">
      <c r="B69" s="2" t="s">
        <v>48</v>
      </c>
      <c r="C69" s="16">
        <f>$L$54</f>
        <v>8.84</v>
      </c>
      <c r="E69" s="150"/>
      <c r="F69" s="38">
        <f>$F$54/$L$54</f>
        <v>1.6846081908487154</v>
      </c>
    </row>
    <row r="70" ht="12.75">
      <c r="E70" s="150"/>
    </row>
    <row r="71" spans="2:5" ht="15">
      <c r="B71" s="2" t="s">
        <v>68</v>
      </c>
      <c r="C71" s="40">
        <f>C67-C69</f>
        <v>6.0519364071026445</v>
      </c>
      <c r="E71" s="150"/>
    </row>
    <row r="75" spans="1:5" ht="15.75">
      <c r="A75" s="142" t="s">
        <v>49</v>
      </c>
      <c r="B75" s="142"/>
      <c r="C75" s="142"/>
      <c r="D75" s="142"/>
      <c r="E75" s="142"/>
    </row>
    <row r="76" spans="2:4" ht="13.5" thickBot="1">
      <c r="B76" s="20" t="s">
        <v>53</v>
      </c>
      <c r="C76" s="148" t="s">
        <v>54</v>
      </c>
      <c r="D76" s="148"/>
    </row>
    <row r="77" spans="2:6" ht="12.75">
      <c r="B77" s="19"/>
      <c r="C77" s="149" t="s">
        <v>55</v>
      </c>
      <c r="D77" s="149"/>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13.391936407102644</v>
      </c>
      <c r="D87" s="9"/>
      <c r="E87" s="147" t="s">
        <v>9</v>
      </c>
    </row>
    <row r="88" spans="2:5" ht="6" customHeight="1" thickBot="1">
      <c r="B88" s="3"/>
      <c r="C88" s="3"/>
      <c r="D88" s="3"/>
      <c r="E88" s="147"/>
    </row>
    <row r="89" spans="2:7" ht="15.75" customHeight="1" thickBot="1">
      <c r="B89" s="2" t="s">
        <v>62</v>
      </c>
      <c r="C89" s="14">
        <v>639.6</v>
      </c>
      <c r="D89" s="10"/>
      <c r="E89" s="147"/>
      <c r="F89" s="8">
        <f>($C$87*($C$93/100)*($C$95/2)*($C$97*61.02))/($C$89*(460+$C$91))</f>
        <v>14.174179951741992</v>
      </c>
      <c r="G89" s="2" t="s">
        <v>10</v>
      </c>
    </row>
    <row r="90" spans="3:10" ht="6" customHeight="1">
      <c r="C90" s="3"/>
      <c r="D90" s="3"/>
      <c r="E90" s="147"/>
      <c r="F90" s="24"/>
      <c r="G90" s="24"/>
      <c r="H90" s="24"/>
      <c r="I90" s="24"/>
      <c r="J90" s="24"/>
    </row>
    <row r="91" spans="2:10" ht="15.75" customHeight="1">
      <c r="B91" s="2" t="s">
        <v>63</v>
      </c>
      <c r="C91" s="12">
        <v>130</v>
      </c>
      <c r="D91" s="10"/>
      <c r="E91" s="147"/>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A3:E3"/>
    <mergeCell ref="B4:F4"/>
    <mergeCell ref="F6:K6"/>
    <mergeCell ref="F7:J7"/>
    <mergeCell ref="E10:E14"/>
    <mergeCell ref="F13:J15"/>
    <mergeCell ref="K52:K56"/>
    <mergeCell ref="A60:H60"/>
    <mergeCell ref="A19:H19"/>
    <mergeCell ref="C20:D20"/>
    <mergeCell ref="C21:D21"/>
    <mergeCell ref="E37:E41"/>
    <mergeCell ref="F37:F38"/>
    <mergeCell ref="F40:F41"/>
    <mergeCell ref="E67:E71"/>
    <mergeCell ref="A75:E75"/>
    <mergeCell ref="C76:D76"/>
    <mergeCell ref="C77:D77"/>
    <mergeCell ref="E87:E91"/>
    <mergeCell ref="A45:H45"/>
    <mergeCell ref="B46:C46"/>
    <mergeCell ref="H46:I46"/>
    <mergeCell ref="E52:E56"/>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codeName="Sheet8"/>
  <dimension ref="A1:M98"/>
  <sheetViews>
    <sheetView zoomScalePageLayoutView="0" workbookViewId="0" topLeftCell="A1">
      <selection activeCell="J34" sqref="J34"/>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2" t="s">
        <v>50</v>
      </c>
      <c r="B3" s="142"/>
      <c r="C3" s="142"/>
      <c r="D3" s="142"/>
      <c r="E3" s="142"/>
    </row>
    <row r="4" spans="2:6" ht="12.75">
      <c r="B4" s="148" t="s">
        <v>1</v>
      </c>
      <c r="C4" s="148"/>
      <c r="D4" s="148"/>
      <c r="E4" s="148"/>
      <c r="F4" s="148"/>
    </row>
    <row r="5" ht="13.5" thickBot="1"/>
    <row r="6" spans="2:13" ht="16.5" thickBot="1">
      <c r="B6" s="2" t="s">
        <v>2</v>
      </c>
      <c r="F6" s="148" t="s">
        <v>4</v>
      </c>
      <c r="G6" s="148"/>
      <c r="H6" s="148"/>
      <c r="I6" s="148"/>
      <c r="J6" s="148"/>
      <c r="K6" s="148"/>
      <c r="L6" s="26" t="s">
        <v>67</v>
      </c>
      <c r="M6" s="35">
        <f>(C10*C14)/6</f>
        <v>8.333333333333334</v>
      </c>
    </row>
    <row r="7" spans="2:10" ht="12.75">
      <c r="B7" s="2" t="s">
        <v>3</v>
      </c>
      <c r="F7" s="148" t="s">
        <v>8</v>
      </c>
      <c r="G7" s="148"/>
      <c r="H7" s="148"/>
      <c r="I7" s="148"/>
      <c r="J7" s="148"/>
    </row>
    <row r="8" ht="12.75">
      <c r="B8" s="2" t="s">
        <v>0</v>
      </c>
    </row>
    <row r="9" ht="12.75"/>
    <row r="10" spans="2:5" ht="12.75">
      <c r="B10" s="3" t="s">
        <v>7</v>
      </c>
      <c r="C10" s="6">
        <f>InputPage!E9</f>
        <v>100</v>
      </c>
      <c r="D10" s="9"/>
      <c r="E10" s="147" t="s">
        <v>9</v>
      </c>
    </row>
    <row r="11" spans="2:5" ht="6" customHeight="1" thickBot="1">
      <c r="B11" s="3"/>
      <c r="C11" s="3"/>
      <c r="D11" s="3"/>
      <c r="E11" s="147"/>
    </row>
    <row r="12" spans="2:7" ht="21.75" thickBot="1">
      <c r="B12" s="2" t="s">
        <v>6</v>
      </c>
      <c r="C12" s="35">
        <f>InputPage!G9</f>
        <v>15.5</v>
      </c>
      <c r="D12" s="10"/>
      <c r="E12" s="147"/>
      <c r="F12" s="39">
        <f>$C$10*$C$12*($C$14/60)</f>
        <v>12.916666666666666</v>
      </c>
      <c r="G12" s="2" t="s">
        <v>10</v>
      </c>
    </row>
    <row r="13" spans="3:10" ht="6" customHeight="1">
      <c r="C13" s="36"/>
      <c r="D13" s="3"/>
      <c r="E13" s="147"/>
      <c r="F13" s="141" t="s">
        <v>26</v>
      </c>
      <c r="G13" s="141"/>
      <c r="H13" s="141"/>
      <c r="I13" s="141"/>
      <c r="J13" s="141"/>
    </row>
    <row r="14" spans="2:10" ht="16.5" thickBot="1">
      <c r="B14" s="2" t="s">
        <v>5</v>
      </c>
      <c r="C14" s="37">
        <f>InputPage!F9</f>
        <v>0.5</v>
      </c>
      <c r="D14" s="10"/>
      <c r="E14" s="147"/>
      <c r="F14" s="141"/>
      <c r="G14" s="141"/>
      <c r="H14" s="141"/>
      <c r="I14" s="141"/>
      <c r="J14" s="141"/>
    </row>
    <row r="15" spans="6:10" ht="12.75">
      <c r="F15" s="141"/>
      <c r="G15" s="141"/>
      <c r="H15" s="141"/>
      <c r="I15" s="141"/>
      <c r="J15" s="141"/>
    </row>
    <row r="16" spans="2:4" ht="15.75">
      <c r="B16" s="5"/>
      <c r="C16" s="7"/>
      <c r="D16" s="7"/>
    </row>
    <row r="17" ht="12.75"/>
    <row r="18" ht="12.75"/>
    <row r="19" spans="1:8" ht="15.75">
      <c r="A19" s="142" t="s">
        <v>11</v>
      </c>
      <c r="B19" s="142"/>
      <c r="C19" s="142"/>
      <c r="D19" s="142"/>
      <c r="E19" s="142"/>
      <c r="F19" s="142"/>
      <c r="G19" s="142"/>
      <c r="H19" s="142"/>
    </row>
    <row r="20" spans="2:4" ht="13.5" thickBot="1">
      <c r="B20" s="11" t="s">
        <v>12</v>
      </c>
      <c r="C20" s="152" t="s">
        <v>51</v>
      </c>
      <c r="D20" s="152"/>
    </row>
    <row r="21" spans="3:4" ht="12.75">
      <c r="C21" s="149" t="s">
        <v>52</v>
      </c>
      <c r="D21" s="149"/>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12.916666666666666</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InputPage!I9</f>
        <v>101</v>
      </c>
    </row>
    <row r="36" ht="6" customHeight="1" thickBot="1">
      <c r="C36" s="32"/>
    </row>
    <row r="37" spans="2:6" ht="12.75" customHeight="1">
      <c r="B37" s="2" t="s">
        <v>21</v>
      </c>
      <c r="C37" s="33">
        <f>InputPage!B16</f>
        <v>95</v>
      </c>
      <c r="E37" s="151" t="s">
        <v>25</v>
      </c>
      <c r="F37" s="143">
        <f>($C$31*$C$33*(460+$C$35))/(($C$37/100)*($C$39/2)*($C$41*61.02))</f>
        <v>11.389085354049385</v>
      </c>
    </row>
    <row r="38" spans="3:6" ht="6" customHeight="1" thickBot="1">
      <c r="C38" s="32"/>
      <c r="E38" s="151"/>
      <c r="F38" s="144"/>
    </row>
    <row r="39" spans="2:6" ht="16.5" thickBot="1">
      <c r="B39" s="2" t="s">
        <v>20</v>
      </c>
      <c r="C39" s="34">
        <f>InputPage!D9</f>
        <v>5400</v>
      </c>
      <c r="E39" s="151"/>
      <c r="F39" s="15"/>
    </row>
    <row r="40" spans="3:6" ht="6" customHeight="1">
      <c r="C40" s="29"/>
      <c r="E40" s="151"/>
      <c r="F40" s="145">
        <f>($C$31*$C$33*(460+$C$35))/(($C$37/100)*($C$39/2)*($C$41*61.02))-I52</f>
        <v>4.049085354049385</v>
      </c>
    </row>
    <row r="41" spans="2:6" ht="15.75" customHeight="1" thickBot="1">
      <c r="B41" s="2" t="s">
        <v>19</v>
      </c>
      <c r="C41" s="28">
        <f>InputPage!B15</f>
        <v>2.6</v>
      </c>
      <c r="E41" s="151"/>
      <c r="F41" s="146"/>
    </row>
    <row r="42" ht="12.75"/>
    <row r="43" ht="12.75"/>
    <row r="44" ht="12.75"/>
    <row r="45" spans="1:8" ht="15.75">
      <c r="A45" s="142" t="s">
        <v>33</v>
      </c>
      <c r="B45" s="142"/>
      <c r="C45" s="142"/>
      <c r="D45" s="142"/>
      <c r="E45" s="142"/>
      <c r="F45" s="142"/>
      <c r="G45" s="142"/>
      <c r="H45" s="142"/>
    </row>
    <row r="46" spans="2:9" ht="12.75">
      <c r="B46" s="140" t="s">
        <v>29</v>
      </c>
      <c r="C46" s="140"/>
      <c r="H46" s="140" t="s">
        <v>35</v>
      </c>
      <c r="I46" s="140"/>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11.389085354049385</v>
      </c>
      <c r="E52" s="150" t="s">
        <v>34</v>
      </c>
      <c r="H52" s="2" t="s">
        <v>39</v>
      </c>
      <c r="I52" s="30">
        <f>InputPage!C9</f>
        <v>7.34</v>
      </c>
      <c r="K52" s="150" t="s">
        <v>34</v>
      </c>
    </row>
    <row r="53" spans="5:11" ht="6" customHeight="1" thickBot="1">
      <c r="E53" s="150"/>
      <c r="K53" s="150"/>
    </row>
    <row r="54" spans="2:12" ht="15.75" customHeight="1" thickBot="1">
      <c r="B54" s="2" t="s">
        <v>32</v>
      </c>
      <c r="C54" s="27">
        <f>InputPage!B21</f>
        <v>1.5</v>
      </c>
      <c r="E54" s="150"/>
      <c r="F54" s="17">
        <f>$C$52+$C$54</f>
        <v>12.889085354049385</v>
      </c>
      <c r="H54" s="2" t="s">
        <v>40</v>
      </c>
      <c r="I54" s="27">
        <f>InputPage!B20</f>
        <v>0.5</v>
      </c>
      <c r="K54" s="150"/>
      <c r="L54" s="17">
        <f>$I$52-$I$54</f>
        <v>6.84</v>
      </c>
    </row>
    <row r="55" spans="5:11" ht="12.75">
      <c r="E55" s="150"/>
      <c r="K55" s="150"/>
    </row>
    <row r="56" spans="5:11" ht="12.75">
      <c r="E56" s="150"/>
      <c r="K56" s="150"/>
    </row>
    <row r="60" spans="1:8" ht="15.75">
      <c r="A60" s="142" t="s">
        <v>41</v>
      </c>
      <c r="B60" s="142"/>
      <c r="C60" s="142"/>
      <c r="D60" s="142"/>
      <c r="E60" s="142"/>
      <c r="F60" s="142"/>
      <c r="G60" s="142"/>
      <c r="H60" s="142"/>
    </row>
    <row r="61" ht="12.75">
      <c r="B61" s="18" t="s">
        <v>42</v>
      </c>
    </row>
    <row r="63" ht="12.75">
      <c r="B63" s="11" t="s">
        <v>43</v>
      </c>
    </row>
    <row r="64" ht="12.75">
      <c r="B64" s="2" t="s">
        <v>44</v>
      </c>
    </row>
    <row r="65" ht="12.75">
      <c r="B65" s="2" t="s">
        <v>45</v>
      </c>
    </row>
    <row r="67" spans="2:5" ht="15.75" customHeight="1">
      <c r="B67" s="2" t="s">
        <v>47</v>
      </c>
      <c r="C67" s="16">
        <f>$F$54</f>
        <v>12.889085354049385</v>
      </c>
      <c r="E67" s="150" t="s">
        <v>46</v>
      </c>
    </row>
    <row r="68" ht="6" customHeight="1" thickBot="1">
      <c r="E68" s="150"/>
    </row>
    <row r="69" spans="2:6" ht="15.75" customHeight="1" thickBot="1">
      <c r="B69" s="2" t="s">
        <v>48</v>
      </c>
      <c r="C69" s="16">
        <f>$L$54</f>
        <v>6.84</v>
      </c>
      <c r="E69" s="150"/>
      <c r="F69" s="38">
        <f>$F$54/$L$54</f>
        <v>1.8843692038083897</v>
      </c>
    </row>
    <row r="70" ht="12.75">
      <c r="E70" s="150"/>
    </row>
    <row r="71" spans="2:5" ht="15">
      <c r="B71" s="2" t="s">
        <v>68</v>
      </c>
      <c r="C71" s="40">
        <f>C67-C69</f>
        <v>6.049085354049385</v>
      </c>
      <c r="E71" s="150"/>
    </row>
    <row r="75" spans="1:5" ht="15.75">
      <c r="A75" s="142" t="s">
        <v>49</v>
      </c>
      <c r="B75" s="142"/>
      <c r="C75" s="142"/>
      <c r="D75" s="142"/>
      <c r="E75" s="142"/>
    </row>
    <row r="76" spans="2:4" ht="13.5" thickBot="1">
      <c r="B76" s="20" t="s">
        <v>53</v>
      </c>
      <c r="C76" s="148" t="s">
        <v>54</v>
      </c>
      <c r="D76" s="148"/>
    </row>
    <row r="77" spans="2:6" ht="12.75">
      <c r="B77" s="19"/>
      <c r="C77" s="149" t="s">
        <v>55</v>
      </c>
      <c r="D77" s="149"/>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11.389085354049385</v>
      </c>
      <c r="D87" s="9"/>
      <c r="E87" s="147" t="s">
        <v>9</v>
      </c>
    </row>
    <row r="88" spans="2:5" ht="6" customHeight="1" thickBot="1">
      <c r="B88" s="3"/>
      <c r="C88" s="3"/>
      <c r="D88" s="3"/>
      <c r="E88" s="147"/>
    </row>
    <row r="89" spans="2:7" ht="15.75" customHeight="1" thickBot="1">
      <c r="B89" s="2" t="s">
        <v>62</v>
      </c>
      <c r="C89" s="14">
        <v>639.6</v>
      </c>
      <c r="D89" s="10"/>
      <c r="E89" s="147"/>
      <c r="F89" s="8">
        <f>($C$87*($C$93/100)*($C$95/2)*($C$97*61.02))/($C$89*(460+$C$91))</f>
        <v>12.054339296924041</v>
      </c>
      <c r="G89" s="2" t="s">
        <v>10</v>
      </c>
    </row>
    <row r="90" spans="3:10" ht="6" customHeight="1">
      <c r="C90" s="3"/>
      <c r="D90" s="3"/>
      <c r="E90" s="147"/>
      <c r="F90" s="24"/>
      <c r="G90" s="24"/>
      <c r="H90" s="24"/>
      <c r="I90" s="24"/>
      <c r="J90" s="24"/>
    </row>
    <row r="91" spans="2:10" ht="15.75" customHeight="1">
      <c r="B91" s="2" t="s">
        <v>63</v>
      </c>
      <c r="C91" s="12">
        <v>130</v>
      </c>
      <c r="D91" s="10"/>
      <c r="E91" s="147"/>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A3:E3"/>
    <mergeCell ref="B4:F4"/>
    <mergeCell ref="F6:K6"/>
    <mergeCell ref="F7:J7"/>
    <mergeCell ref="E10:E14"/>
    <mergeCell ref="F13:J15"/>
    <mergeCell ref="K52:K56"/>
    <mergeCell ref="A60:H60"/>
    <mergeCell ref="A19:H19"/>
    <mergeCell ref="C20:D20"/>
    <mergeCell ref="C21:D21"/>
    <mergeCell ref="E37:E41"/>
    <mergeCell ref="F37:F38"/>
    <mergeCell ref="F40:F41"/>
    <mergeCell ref="E67:E71"/>
    <mergeCell ref="A75:E75"/>
    <mergeCell ref="C76:D76"/>
    <mergeCell ref="C77:D77"/>
    <mergeCell ref="E87:E91"/>
    <mergeCell ref="A45:H45"/>
    <mergeCell ref="B46:C46"/>
    <mergeCell ref="H46:I46"/>
    <mergeCell ref="E52:E5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9"/>
  <dimension ref="A1:M98"/>
  <sheetViews>
    <sheetView zoomScalePageLayoutView="0" workbookViewId="0" topLeftCell="A1">
      <selection activeCell="J34" sqref="J34"/>
    </sheetView>
  </sheetViews>
  <sheetFormatPr defaultColWidth="9.140625" defaultRowHeight="15"/>
  <cols>
    <col min="1" max="1" width="3.57421875" style="2" customWidth="1"/>
    <col min="2" max="2" width="8.8515625" style="2" customWidth="1"/>
    <col min="3" max="3" width="16.57421875" style="2" bestFit="1" customWidth="1"/>
    <col min="4" max="4" width="8.57421875" style="2" customWidth="1"/>
    <col min="5" max="6" width="20.28125" style="2" customWidth="1"/>
    <col min="7" max="8" width="9.140625" style="2" customWidth="1"/>
    <col min="9" max="9" width="12.57421875" style="2" customWidth="1"/>
    <col min="10" max="11" width="9.140625" style="2" customWidth="1"/>
    <col min="12" max="12" width="12.421875" style="2" customWidth="1"/>
    <col min="13" max="16384" width="9.140625" style="2" customWidth="1"/>
  </cols>
  <sheetData>
    <row r="1" ht="31.5">
      <c r="A1" s="1"/>
    </row>
    <row r="2" ht="12.75"/>
    <row r="3" spans="1:5" ht="15.75">
      <c r="A3" s="142" t="s">
        <v>50</v>
      </c>
      <c r="B3" s="142"/>
      <c r="C3" s="142"/>
      <c r="D3" s="142"/>
      <c r="E3" s="142"/>
    </row>
    <row r="4" spans="2:6" ht="12.75">
      <c r="B4" s="148" t="s">
        <v>1</v>
      </c>
      <c r="C4" s="148"/>
      <c r="D4" s="148"/>
      <c r="E4" s="148"/>
      <c r="F4" s="148"/>
    </row>
    <row r="5" ht="13.5" thickBot="1"/>
    <row r="6" spans="2:13" ht="16.5" thickBot="1">
      <c r="B6" s="2" t="s">
        <v>2</v>
      </c>
      <c r="F6" s="148" t="s">
        <v>4</v>
      </c>
      <c r="G6" s="148"/>
      <c r="H6" s="148"/>
      <c r="I6" s="148"/>
      <c r="J6" s="148"/>
      <c r="K6" s="148"/>
      <c r="L6" s="26" t="s">
        <v>67</v>
      </c>
      <c r="M6" s="35">
        <f>(C10*C14)/6</f>
        <v>6.266666666666666</v>
      </c>
    </row>
    <row r="7" spans="2:10" ht="12.75">
      <c r="B7" s="2" t="s">
        <v>3</v>
      </c>
      <c r="F7" s="148" t="s">
        <v>8</v>
      </c>
      <c r="G7" s="148"/>
      <c r="H7" s="148"/>
      <c r="I7" s="148"/>
      <c r="J7" s="148"/>
    </row>
    <row r="8" ht="12.75">
      <c r="B8" s="2" t="s">
        <v>0</v>
      </c>
    </row>
    <row r="9" ht="12.75"/>
    <row r="10" spans="2:5" ht="12.75">
      <c r="B10" s="3" t="s">
        <v>7</v>
      </c>
      <c r="C10" s="6">
        <f>InputPage!E10</f>
        <v>80</v>
      </c>
      <c r="D10" s="9"/>
      <c r="E10" s="147" t="s">
        <v>9</v>
      </c>
    </row>
    <row r="11" spans="2:5" ht="6" customHeight="1" thickBot="1">
      <c r="B11" s="3"/>
      <c r="C11" s="3"/>
      <c r="D11" s="3"/>
      <c r="E11" s="147"/>
    </row>
    <row r="12" spans="2:7" ht="21.75" thickBot="1">
      <c r="B12" s="2" t="s">
        <v>6</v>
      </c>
      <c r="C12" s="35">
        <f>InputPage!G10</f>
        <v>17</v>
      </c>
      <c r="D12" s="10"/>
      <c r="E12" s="147"/>
      <c r="F12" s="39">
        <f>$C$10*$C$12*($C$14/60)</f>
        <v>10.653333333333332</v>
      </c>
      <c r="G12" s="2" t="s">
        <v>10</v>
      </c>
    </row>
    <row r="13" spans="3:10" ht="6" customHeight="1">
      <c r="C13" s="36"/>
      <c r="D13" s="3"/>
      <c r="E13" s="147"/>
      <c r="F13" s="141" t="s">
        <v>26</v>
      </c>
      <c r="G13" s="141"/>
      <c r="H13" s="141"/>
      <c r="I13" s="141"/>
      <c r="J13" s="141"/>
    </row>
    <row r="14" spans="2:10" ht="16.5" thickBot="1">
      <c r="B14" s="2" t="s">
        <v>5</v>
      </c>
      <c r="C14" s="37">
        <f>InputPage!F10</f>
        <v>0.47</v>
      </c>
      <c r="D14" s="10"/>
      <c r="E14" s="147"/>
      <c r="F14" s="141"/>
      <c r="G14" s="141"/>
      <c r="H14" s="141"/>
      <c r="I14" s="141"/>
      <c r="J14" s="141"/>
    </row>
    <row r="15" spans="6:10" ht="12.75">
      <c r="F15" s="141"/>
      <c r="G15" s="141"/>
      <c r="H15" s="141"/>
      <c r="I15" s="141"/>
      <c r="J15" s="141"/>
    </row>
    <row r="16" spans="2:4" ht="15.75">
      <c r="B16" s="5"/>
      <c r="C16" s="7"/>
      <c r="D16" s="7"/>
    </row>
    <row r="17" ht="12.75"/>
    <row r="18" ht="12.75"/>
    <row r="19" spans="1:8" ht="15.75">
      <c r="A19" s="142" t="s">
        <v>11</v>
      </c>
      <c r="B19" s="142"/>
      <c r="C19" s="142"/>
      <c r="D19" s="142"/>
      <c r="E19" s="142"/>
      <c r="F19" s="142"/>
      <c r="G19" s="142"/>
      <c r="H19" s="142"/>
    </row>
    <row r="20" spans="2:4" ht="13.5" thickBot="1">
      <c r="B20" s="11" t="s">
        <v>12</v>
      </c>
      <c r="C20" s="152" t="s">
        <v>51</v>
      </c>
      <c r="D20" s="152"/>
    </row>
    <row r="21" spans="3:4" ht="12.75">
      <c r="C21" s="149" t="s">
        <v>52</v>
      </c>
      <c r="D21" s="149"/>
    </row>
    <row r="22" ht="12.75"/>
    <row r="23" ht="12.75">
      <c r="B23" s="11" t="s">
        <v>13</v>
      </c>
    </row>
    <row r="24" ht="12.75">
      <c r="B24" s="2" t="s">
        <v>14</v>
      </c>
    </row>
    <row r="25" ht="12.75">
      <c r="B25" s="2" t="s">
        <v>15</v>
      </c>
    </row>
    <row r="26" ht="12.75">
      <c r="B26" s="2" t="s">
        <v>16</v>
      </c>
    </row>
    <row r="27" ht="12.75">
      <c r="B27" s="2" t="s">
        <v>59</v>
      </c>
    </row>
    <row r="28" ht="12.75">
      <c r="B28" s="2" t="s">
        <v>17</v>
      </c>
    </row>
    <row r="29" ht="12.75">
      <c r="B29" s="2" t="s">
        <v>18</v>
      </c>
    </row>
    <row r="30" ht="12.75"/>
    <row r="31" spans="2:3" ht="12.75">
      <c r="B31" s="2" t="s">
        <v>24</v>
      </c>
      <c r="C31" s="4">
        <f>F12</f>
        <v>10.653333333333332</v>
      </c>
    </row>
    <row r="32" spans="2:4" ht="6" customHeight="1">
      <c r="B32" s="3"/>
      <c r="C32" s="3"/>
      <c r="D32" s="3"/>
    </row>
    <row r="33" spans="2:3" ht="12.75" customHeight="1">
      <c r="B33" s="2" t="s">
        <v>23</v>
      </c>
      <c r="C33" s="14">
        <v>639.6</v>
      </c>
    </row>
    <row r="34" ht="6" customHeight="1" thickBot="1">
      <c r="C34" s="22"/>
    </row>
    <row r="35" spans="2:3" ht="12.75" customHeight="1">
      <c r="B35" s="2" t="s">
        <v>22</v>
      </c>
      <c r="C35" s="31">
        <f>InputPage!I10</f>
        <v>90.65</v>
      </c>
    </row>
    <row r="36" ht="6" customHeight="1" thickBot="1">
      <c r="C36" s="32"/>
    </row>
    <row r="37" spans="2:6" ht="12.75" customHeight="1">
      <c r="B37" s="2" t="s">
        <v>21</v>
      </c>
      <c r="C37" s="33">
        <f>InputPage!B16</f>
        <v>95</v>
      </c>
      <c r="E37" s="151" t="s">
        <v>25</v>
      </c>
      <c r="F37" s="143">
        <f>($C$31*$C$33*(460+$C$35))/(($C$37/100)*($C$39/2)*($C$41*61.02))</f>
        <v>10.372637875416167</v>
      </c>
    </row>
    <row r="38" spans="3:6" ht="6" customHeight="1" thickBot="1">
      <c r="C38" s="32"/>
      <c r="E38" s="151"/>
      <c r="F38" s="144"/>
    </row>
    <row r="39" spans="2:6" ht="16.5" thickBot="1">
      <c r="B39" s="2" t="s">
        <v>20</v>
      </c>
      <c r="C39" s="34">
        <f>InputPage!D10</f>
        <v>4800</v>
      </c>
      <c r="E39" s="151"/>
      <c r="F39" s="15"/>
    </row>
    <row r="40" spans="3:6" ht="6" customHeight="1">
      <c r="C40" s="29"/>
      <c r="E40" s="151"/>
      <c r="F40" s="145">
        <f>($C$31*$C$33*(460+$C$35))/(($C$37/100)*($C$39/2)*($C$41*61.02))-I52</f>
        <v>3.0326378754161674</v>
      </c>
    </row>
    <row r="41" spans="2:6" ht="15.75" customHeight="1" thickBot="1">
      <c r="B41" s="2" t="s">
        <v>19</v>
      </c>
      <c r="C41" s="28">
        <f>InputPage!B15</f>
        <v>2.6</v>
      </c>
      <c r="E41" s="151"/>
      <c r="F41" s="146"/>
    </row>
    <row r="42" ht="12.75"/>
    <row r="43" ht="12.75"/>
    <row r="44" ht="12.75"/>
    <row r="45" spans="1:8" ht="15.75">
      <c r="A45" s="142" t="s">
        <v>33</v>
      </c>
      <c r="B45" s="142"/>
      <c r="C45" s="142"/>
      <c r="D45" s="142"/>
      <c r="E45" s="142"/>
      <c r="F45" s="142"/>
      <c r="G45" s="142"/>
      <c r="H45" s="142"/>
    </row>
    <row r="46" spans="2:9" ht="12.75">
      <c r="B46" s="140" t="s">
        <v>29</v>
      </c>
      <c r="C46" s="140"/>
      <c r="H46" s="140" t="s">
        <v>35</v>
      </c>
      <c r="I46" s="140"/>
    </row>
    <row r="47" ht="12.75"/>
    <row r="48" spans="2:8" ht="12.75">
      <c r="B48" s="11" t="s">
        <v>27</v>
      </c>
      <c r="H48" s="11" t="s">
        <v>36</v>
      </c>
    </row>
    <row r="49" spans="2:8" ht="12.75">
      <c r="B49" s="2" t="s">
        <v>28</v>
      </c>
      <c r="H49" s="2" t="s">
        <v>37</v>
      </c>
    </row>
    <row r="50" spans="2:8" ht="12.75">
      <c r="B50" s="2" t="s">
        <v>30</v>
      </c>
      <c r="H50" s="2" t="s">
        <v>38</v>
      </c>
    </row>
    <row r="51" ht="13.5" thickBot="1"/>
    <row r="52" spans="2:11" ht="15.75" customHeight="1" thickBot="1">
      <c r="B52" s="2" t="s">
        <v>31</v>
      </c>
      <c r="C52" s="16">
        <f>$F$37</f>
        <v>10.372637875416167</v>
      </c>
      <c r="E52" s="150" t="s">
        <v>34</v>
      </c>
      <c r="H52" s="2" t="s">
        <v>39</v>
      </c>
      <c r="I52" s="30">
        <f>InputPage!C10</f>
        <v>7.34</v>
      </c>
      <c r="K52" s="150" t="s">
        <v>34</v>
      </c>
    </row>
    <row r="53" spans="5:11" ht="6" customHeight="1" thickBot="1">
      <c r="E53" s="150"/>
      <c r="K53" s="150"/>
    </row>
    <row r="54" spans="2:12" ht="15.75" customHeight="1" thickBot="1">
      <c r="B54" s="2" t="s">
        <v>32</v>
      </c>
      <c r="C54" s="27">
        <f>InputPage!B21</f>
        <v>1.5</v>
      </c>
      <c r="E54" s="150"/>
      <c r="F54" s="17">
        <f>$C$52+$C$54</f>
        <v>11.872637875416167</v>
      </c>
      <c r="H54" s="2" t="s">
        <v>40</v>
      </c>
      <c r="I54" s="27">
        <f>InputPage!B20</f>
        <v>0.5</v>
      </c>
      <c r="K54" s="150"/>
      <c r="L54" s="17">
        <f>$I$52-$I$54</f>
        <v>6.84</v>
      </c>
    </row>
    <row r="55" spans="5:11" ht="12.75">
      <c r="E55" s="150"/>
      <c r="K55" s="150"/>
    </row>
    <row r="56" spans="5:11" ht="12.75">
      <c r="E56" s="150"/>
      <c r="K56" s="150"/>
    </row>
    <row r="60" spans="1:8" ht="15.75">
      <c r="A60" s="142" t="s">
        <v>41</v>
      </c>
      <c r="B60" s="142"/>
      <c r="C60" s="142"/>
      <c r="D60" s="142"/>
      <c r="E60" s="142"/>
      <c r="F60" s="142"/>
      <c r="G60" s="142"/>
      <c r="H60" s="142"/>
    </row>
    <row r="61" ht="12.75">
      <c r="B61" s="18" t="s">
        <v>42</v>
      </c>
    </row>
    <row r="63" ht="12.75">
      <c r="B63" s="11" t="s">
        <v>43</v>
      </c>
    </row>
    <row r="64" ht="12.75">
      <c r="B64" s="2" t="s">
        <v>44</v>
      </c>
    </row>
    <row r="65" ht="12.75">
      <c r="B65" s="2" t="s">
        <v>45</v>
      </c>
    </row>
    <row r="67" spans="2:5" ht="15.75" customHeight="1">
      <c r="B67" s="2" t="s">
        <v>47</v>
      </c>
      <c r="C67" s="16">
        <f>$F$54</f>
        <v>11.872637875416167</v>
      </c>
      <c r="E67" s="150" t="s">
        <v>46</v>
      </c>
    </row>
    <row r="68" ht="6" customHeight="1" thickBot="1">
      <c r="E68" s="150"/>
    </row>
    <row r="69" spans="2:6" ht="15.75" customHeight="1" thickBot="1">
      <c r="B69" s="2" t="s">
        <v>48</v>
      </c>
      <c r="C69" s="16">
        <f>$L$54</f>
        <v>6.84</v>
      </c>
      <c r="E69" s="150"/>
      <c r="F69" s="38">
        <f>$F$54/$L$54</f>
        <v>1.7357657712596737</v>
      </c>
    </row>
    <row r="70" ht="12.75">
      <c r="E70" s="150"/>
    </row>
    <row r="71" spans="2:5" ht="15">
      <c r="B71" s="2" t="s">
        <v>68</v>
      </c>
      <c r="C71" s="40">
        <f>C67-C69</f>
        <v>5.032637875416167</v>
      </c>
      <c r="E71" s="150"/>
    </row>
    <row r="75" spans="1:5" ht="15.75">
      <c r="A75" s="142" t="s">
        <v>49</v>
      </c>
      <c r="B75" s="142"/>
      <c r="C75" s="142"/>
      <c r="D75" s="142"/>
      <c r="E75" s="142"/>
    </row>
    <row r="76" spans="2:4" ht="13.5" thickBot="1">
      <c r="B76" s="20" t="s">
        <v>53</v>
      </c>
      <c r="C76" s="148" t="s">
        <v>54</v>
      </c>
      <c r="D76" s="148"/>
    </row>
    <row r="77" spans="2:6" ht="12.75">
      <c r="B77" s="19"/>
      <c r="C77" s="149" t="s">
        <v>55</v>
      </c>
      <c r="D77" s="149"/>
      <c r="E77" s="19"/>
      <c r="F77" s="19"/>
    </row>
    <row r="79" ht="12.75">
      <c r="B79" s="2" t="s">
        <v>56</v>
      </c>
    </row>
    <row r="80" ht="12.75">
      <c r="B80" s="2" t="s">
        <v>28</v>
      </c>
    </row>
    <row r="81" ht="12.75">
      <c r="B81" s="2" t="s">
        <v>57</v>
      </c>
    </row>
    <row r="82" ht="12.75">
      <c r="B82" s="2" t="s">
        <v>58</v>
      </c>
    </row>
    <row r="83" ht="12.75">
      <c r="B83" s="2" t="s">
        <v>59</v>
      </c>
    </row>
    <row r="84" ht="12.75">
      <c r="B84" s="2" t="s">
        <v>17</v>
      </c>
    </row>
    <row r="85" ht="12.75">
      <c r="B85" s="2" t="s">
        <v>60</v>
      </c>
    </row>
    <row r="87" spans="2:5" ht="15.75" customHeight="1">
      <c r="B87" s="3" t="s">
        <v>61</v>
      </c>
      <c r="C87" s="16">
        <f>$F$37</f>
        <v>10.372637875416167</v>
      </c>
      <c r="D87" s="9"/>
      <c r="E87" s="147" t="s">
        <v>9</v>
      </c>
    </row>
    <row r="88" spans="2:5" ht="6" customHeight="1" thickBot="1">
      <c r="B88" s="3"/>
      <c r="C88" s="3"/>
      <c r="D88" s="3"/>
      <c r="E88" s="147"/>
    </row>
    <row r="89" spans="2:7" ht="15.75" customHeight="1" thickBot="1">
      <c r="B89" s="2" t="s">
        <v>62</v>
      </c>
      <c r="C89" s="14">
        <v>639.6</v>
      </c>
      <c r="D89" s="10"/>
      <c r="E89" s="147"/>
      <c r="F89" s="8">
        <f>($C$87*($C$93/100)*($C$95/2)*($C$97*61.02))/($C$89*(460+$C$91))</f>
        <v>10.97851956214689</v>
      </c>
      <c r="G89" s="2" t="s">
        <v>10</v>
      </c>
    </row>
    <row r="90" spans="3:10" ht="6" customHeight="1">
      <c r="C90" s="3"/>
      <c r="D90" s="3"/>
      <c r="E90" s="147"/>
      <c r="F90" s="24"/>
      <c r="G90" s="24"/>
      <c r="H90" s="24"/>
      <c r="I90" s="24"/>
      <c r="J90" s="24"/>
    </row>
    <row r="91" spans="2:10" ht="15.75" customHeight="1">
      <c r="B91" s="2" t="s">
        <v>63</v>
      </c>
      <c r="C91" s="12">
        <v>130</v>
      </c>
      <c r="D91" s="10"/>
      <c r="E91" s="147"/>
      <c r="F91" s="24"/>
      <c r="G91" s="24"/>
      <c r="H91" s="24"/>
      <c r="I91" s="24"/>
      <c r="J91" s="24"/>
    </row>
    <row r="92" spans="6:10" ht="6" customHeight="1">
      <c r="F92" s="24"/>
      <c r="G92" s="24"/>
      <c r="H92" s="24"/>
      <c r="I92" s="24"/>
      <c r="J92" s="24"/>
    </row>
    <row r="93" spans="2:3" ht="15.75" customHeight="1">
      <c r="B93" s="2" t="s">
        <v>64</v>
      </c>
      <c r="C93" s="13">
        <v>95</v>
      </c>
    </row>
    <row r="94" ht="6" customHeight="1">
      <c r="C94" s="21"/>
    </row>
    <row r="95" spans="2:3" ht="15.75" customHeight="1">
      <c r="B95" s="2" t="s">
        <v>65</v>
      </c>
      <c r="C95" s="23">
        <v>5300</v>
      </c>
    </row>
    <row r="96" ht="6" customHeight="1">
      <c r="C96" s="21"/>
    </row>
    <row r="97" spans="2:3" ht="15.75" customHeight="1">
      <c r="B97" s="2" t="s">
        <v>66</v>
      </c>
      <c r="C97" s="14">
        <f>$C$41</f>
        <v>2.6</v>
      </c>
    </row>
    <row r="98" ht="12.75">
      <c r="C98" s="22"/>
    </row>
  </sheetData>
  <sheetProtection/>
  <mergeCells count="23">
    <mergeCell ref="A3:E3"/>
    <mergeCell ref="B4:F4"/>
    <mergeCell ref="F6:K6"/>
    <mergeCell ref="F7:J7"/>
    <mergeCell ref="E10:E14"/>
    <mergeCell ref="F13:J15"/>
    <mergeCell ref="K52:K56"/>
    <mergeCell ref="A60:H60"/>
    <mergeCell ref="A19:H19"/>
    <mergeCell ref="C20:D20"/>
    <mergeCell ref="C21:D21"/>
    <mergeCell ref="E37:E41"/>
    <mergeCell ref="F37:F38"/>
    <mergeCell ref="F40:F41"/>
    <mergeCell ref="E67:E71"/>
    <mergeCell ref="A75:E75"/>
    <mergeCell ref="C76:D76"/>
    <mergeCell ref="C77:D77"/>
    <mergeCell ref="E87:E91"/>
    <mergeCell ref="A45:H45"/>
    <mergeCell ref="B46:C46"/>
    <mergeCell ref="H46:I46"/>
    <mergeCell ref="E52:E5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Champion Petfoods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Augis</dc:creator>
  <cp:keywords/>
  <dc:description/>
  <cp:lastModifiedBy>bhughes</cp:lastModifiedBy>
  <cp:lastPrinted>2008-12-12T17:20:44Z</cp:lastPrinted>
  <dcterms:created xsi:type="dcterms:W3CDTF">2008-12-12T17:15:37Z</dcterms:created>
  <dcterms:modified xsi:type="dcterms:W3CDTF">2013-07-15T22:29:36Z</dcterms:modified>
  <cp:category/>
  <cp:version/>
  <cp:contentType/>
  <cp:contentStatus/>
</cp:coreProperties>
</file>